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defaultThemeVersion="124226"/>
  <bookViews>
    <workbookView xWindow="120" yWindow="45" windowWidth="15600" windowHeight="7995"/>
  </bookViews>
  <sheets>
    <sheet name="Calculo indivdual" sheetId="9" r:id="rId1"/>
    <sheet name="Propuesta Salarial" sheetId="6" r:id="rId2"/>
    <sheet name="Dia del Telefonico" sheetId="7" state="hidden" r:id="rId3"/>
    <sheet name="Salarios Jun 15" sheetId="1" state="hidden" r:id="rId4"/>
    <sheet name="Masa Salarial" sheetId="8" state="hidden" r:id="rId5"/>
    <sheet name="Bono" sheetId="10" state="hidden" r:id="rId6"/>
    <sheet name="Hoja1" sheetId="11" state="hidden" r:id="rId7"/>
  </sheets>
  <externalReferences>
    <externalReference r:id="rId8"/>
  </externalReferences>
  <definedNames>
    <definedName name="Z_E594EE41_4917_4282_8F66_A5D93E449294_.wvu.Cols" localSheetId="1" hidden="1">'Propuesta Salarial'!$L:$M</definedName>
    <definedName name="Z_E594EE41_4917_4282_8F66_A5D93E449294_.wvu.Rows" localSheetId="0" hidden="1">'Calculo indivdual'!$49:$106</definedName>
    <definedName name="Z_E594EE41_4917_4282_8F66_A5D93E449294_.wvu.Rows" localSheetId="1" hidden="1">'Propuesta Salarial'!$46:$46,'Propuesta Salarial'!$70:$70</definedName>
  </definedNames>
  <calcPr calcId="145621"/>
  <customWorkbookViews>
    <customWorkbookView name="Aumento" guid="{E594EE41-4917-4282-8F66-A5D93E449294}" maximized="1" xWindow="1" yWindow="1" windowWidth="1356" windowHeight="538" activeSheetId="9"/>
  </customWorkbookViews>
</workbook>
</file>

<file path=xl/calcChain.xml><?xml version="1.0" encoding="utf-8"?>
<calcChain xmlns="http://schemas.openxmlformats.org/spreadsheetml/2006/main">
  <c r="J19" i="6" l="1"/>
  <c r="J20" i="6"/>
  <c r="J21" i="6"/>
  <c r="J22" i="6"/>
  <c r="J23" i="6"/>
  <c r="J24" i="6"/>
  <c r="J25" i="6"/>
  <c r="A63" i="9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H43" i="10"/>
  <c r="I43" i="10" s="1"/>
  <c r="J43" i="10" s="1"/>
  <c r="M43" i="10" s="1"/>
  <c r="H44" i="10"/>
  <c r="I44" i="10" s="1"/>
  <c r="J44" i="10" s="1"/>
  <c r="M44" i="10" s="1"/>
  <c r="H45" i="10"/>
  <c r="I45" i="10" s="1"/>
  <c r="J45" i="10" s="1"/>
  <c r="M45" i="10" s="1"/>
  <c r="H46" i="10"/>
  <c r="I46" i="10" s="1"/>
  <c r="J46" i="10" s="1"/>
  <c r="M46" i="10" s="1"/>
  <c r="H47" i="10"/>
  <c r="I47" i="10" s="1"/>
  <c r="J47" i="10" s="1"/>
  <c r="M47" i="10" s="1"/>
  <c r="H48" i="10"/>
  <c r="I48" i="10" s="1"/>
  <c r="J48" i="10" s="1"/>
  <c r="M48" i="10" s="1"/>
  <c r="H49" i="10"/>
  <c r="I49" i="10" s="1"/>
  <c r="J49" i="10" s="1"/>
  <c r="M49" i="10" s="1"/>
  <c r="H50" i="10"/>
  <c r="I50" i="10" s="1"/>
  <c r="J50" i="10" s="1"/>
  <c r="M50" i="10" s="1"/>
  <c r="H42" i="10"/>
  <c r="I42" i="10" s="1"/>
  <c r="J42" i="10" s="1"/>
  <c r="M42" i="10" s="1"/>
  <c r="H30" i="10"/>
  <c r="I30" i="10" s="1"/>
  <c r="J30" i="10" s="1"/>
  <c r="L30" i="10" s="1"/>
  <c r="H31" i="10"/>
  <c r="I31" i="10" s="1"/>
  <c r="J31" i="10" s="1"/>
  <c r="L31" i="10" s="1"/>
  <c r="H32" i="10"/>
  <c r="I32" i="10" s="1"/>
  <c r="J32" i="10" s="1"/>
  <c r="L32" i="10" s="1"/>
  <c r="H33" i="10"/>
  <c r="I33" i="10" s="1"/>
  <c r="J33" i="10" s="1"/>
  <c r="L33" i="10" s="1"/>
  <c r="H34" i="10"/>
  <c r="I34" i="10" s="1"/>
  <c r="J34" i="10" s="1"/>
  <c r="L34" i="10" s="1"/>
  <c r="H35" i="10"/>
  <c r="I35" i="10" s="1"/>
  <c r="J35" i="10" s="1"/>
  <c r="L35" i="10" s="1"/>
  <c r="H36" i="10"/>
  <c r="I36" i="10" s="1"/>
  <c r="J36" i="10" s="1"/>
  <c r="L36" i="10" s="1"/>
  <c r="H37" i="10"/>
  <c r="I37" i="10" s="1"/>
  <c r="J37" i="10" s="1"/>
  <c r="L37" i="10" s="1"/>
  <c r="H29" i="10"/>
  <c r="I29" i="10" s="1"/>
  <c r="J6" i="6"/>
  <c r="J7" i="6"/>
  <c r="J8" i="6"/>
  <c r="J9" i="6"/>
  <c r="J10" i="6"/>
  <c r="J11" i="6"/>
  <c r="J12" i="6"/>
  <c r="J13" i="6"/>
  <c r="J5" i="6"/>
  <c r="C32" i="9"/>
  <c r="K67" i="6"/>
  <c r="O19" i="6"/>
  <c r="O20" i="6"/>
  <c r="O21" i="6"/>
  <c r="O22" i="6"/>
  <c r="O23" i="6"/>
  <c r="O24" i="6"/>
  <c r="O25" i="6"/>
  <c r="O26" i="6"/>
  <c r="O18" i="6"/>
  <c r="L26" i="6"/>
  <c r="J26" i="6"/>
  <c r="M26" i="6" s="1"/>
  <c r="L25" i="6"/>
  <c r="M25" i="6"/>
  <c r="L24" i="6"/>
  <c r="M24" i="6"/>
  <c r="L23" i="6"/>
  <c r="M23" i="6"/>
  <c r="L22" i="6"/>
  <c r="M22" i="6"/>
  <c r="L21" i="6"/>
  <c r="M21" i="6"/>
  <c r="L20" i="6"/>
  <c r="M20" i="6"/>
  <c r="L19" i="6"/>
  <c r="M19" i="6"/>
  <c r="L18" i="6"/>
  <c r="J18" i="6"/>
  <c r="M18" i="6" s="1"/>
  <c r="E31" i="6"/>
  <c r="F31" i="6"/>
  <c r="E32" i="6"/>
  <c r="F32" i="6"/>
  <c r="G32" i="6" s="1"/>
  <c r="E33" i="6"/>
  <c r="F33" i="6"/>
  <c r="E34" i="6"/>
  <c r="F34" i="6"/>
  <c r="G34" i="6" s="1"/>
  <c r="E35" i="6"/>
  <c r="F35" i="6"/>
  <c r="E36" i="6"/>
  <c r="F36" i="6"/>
  <c r="G36" i="6" s="1"/>
  <c r="E37" i="6"/>
  <c r="F37" i="6"/>
  <c r="E38" i="6"/>
  <c r="F38" i="6"/>
  <c r="F30" i="6"/>
  <c r="E30" i="6"/>
  <c r="G49" i="6"/>
  <c r="H49" i="6" s="1"/>
  <c r="G53" i="6"/>
  <c r="H53" i="6" s="1"/>
  <c r="E53" i="6"/>
  <c r="F53" i="6" s="1"/>
  <c r="D47" i="9" l="1"/>
  <c r="G30" i="6"/>
  <c r="G35" i="6"/>
  <c r="G33" i="6"/>
  <c r="G31" i="6"/>
  <c r="G37" i="6"/>
  <c r="G38" i="6"/>
  <c r="J29" i="10"/>
  <c r="M29" i="10" s="1"/>
  <c r="F37" i="9"/>
  <c r="K30" i="10"/>
  <c r="K32" i="10"/>
  <c r="K34" i="10"/>
  <c r="K36" i="10"/>
  <c r="N30" i="10"/>
  <c r="N32" i="10"/>
  <c r="N34" i="10"/>
  <c r="N36" i="10"/>
  <c r="M30" i="10"/>
  <c r="K31" i="10"/>
  <c r="N31" i="10"/>
  <c r="M32" i="10"/>
  <c r="K33" i="10"/>
  <c r="N33" i="10"/>
  <c r="M34" i="10"/>
  <c r="K35" i="10"/>
  <c r="N35" i="10"/>
  <c r="M36" i="10"/>
  <c r="K37" i="10"/>
  <c r="N37" i="10"/>
  <c r="M31" i="10"/>
  <c r="M33" i="10"/>
  <c r="M35" i="10"/>
  <c r="M37" i="10"/>
  <c r="L42" i="10"/>
  <c r="N42" i="10"/>
  <c r="L43" i="10"/>
  <c r="N43" i="10"/>
  <c r="L44" i="10"/>
  <c r="N44" i="10"/>
  <c r="L45" i="10"/>
  <c r="N45" i="10"/>
  <c r="L46" i="10"/>
  <c r="N46" i="10"/>
  <c r="L47" i="10"/>
  <c r="N47" i="10"/>
  <c r="L48" i="10"/>
  <c r="N48" i="10"/>
  <c r="L49" i="10"/>
  <c r="N49" i="10"/>
  <c r="L50" i="10"/>
  <c r="N50" i="10"/>
  <c r="K42" i="10"/>
  <c r="K43" i="10"/>
  <c r="K44" i="10"/>
  <c r="K45" i="10"/>
  <c r="K46" i="10"/>
  <c r="K47" i="10"/>
  <c r="K48" i="10"/>
  <c r="K49" i="10"/>
  <c r="K50" i="10"/>
  <c r="L29" i="10" l="1"/>
  <c r="C46" i="9" s="1"/>
  <c r="C35" i="9"/>
  <c r="C47" i="9"/>
  <c r="D48" i="9"/>
  <c r="D46" i="9"/>
  <c r="K29" i="10"/>
  <c r="D45" i="9"/>
  <c r="C45" i="9"/>
  <c r="N29" i="10"/>
  <c r="C48" i="9" s="1"/>
  <c r="G33" i="9"/>
  <c r="D14" i="9"/>
  <c r="C21" i="9"/>
  <c r="D13" i="9"/>
  <c r="D9" i="9"/>
  <c r="D8" i="9"/>
  <c r="C9" i="9"/>
  <c r="D30" i="9" s="1"/>
  <c r="I9" i="1"/>
  <c r="I4" i="1"/>
  <c r="J23" i="7"/>
  <c r="J22" i="7"/>
  <c r="J18" i="7"/>
  <c r="J21" i="7"/>
  <c r="J17" i="7"/>
  <c r="I18" i="7"/>
  <c r="I19" i="7"/>
  <c r="J19" i="7" s="1"/>
  <c r="I20" i="7"/>
  <c r="J20" i="7" s="1"/>
  <c r="I21" i="7"/>
  <c r="L21" i="7" s="1"/>
  <c r="I22" i="7"/>
  <c r="I23" i="7"/>
  <c r="I24" i="7"/>
  <c r="L24" i="7" s="1"/>
  <c r="I25" i="7"/>
  <c r="J25" i="7" s="1"/>
  <c r="I17" i="7"/>
  <c r="L17" i="7" s="1"/>
  <c r="L25" i="7"/>
  <c r="L23" i="7"/>
  <c r="L19" i="7"/>
  <c r="L4" i="1"/>
  <c r="L8" i="1"/>
  <c r="L9" i="1"/>
  <c r="L12" i="1"/>
  <c r="J8" i="1"/>
  <c r="J9" i="1"/>
  <c r="J12" i="1"/>
  <c r="L18" i="7"/>
  <c r="L22" i="7"/>
  <c r="I12" i="1"/>
  <c r="I11" i="1"/>
  <c r="L11" i="1" s="1"/>
  <c r="I10" i="1"/>
  <c r="L10" i="1" s="1"/>
  <c r="I8" i="1"/>
  <c r="I7" i="1"/>
  <c r="I6" i="1"/>
  <c r="I5" i="1"/>
  <c r="K7" i="6" l="1"/>
  <c r="N7" i="6" s="1"/>
  <c r="K20" i="6"/>
  <c r="N20" i="6" s="1"/>
  <c r="K21" i="6"/>
  <c r="N21" i="6" s="1"/>
  <c r="K8" i="6"/>
  <c r="N8" i="6" s="1"/>
  <c r="K13" i="6"/>
  <c r="N13" i="6" s="1"/>
  <c r="K26" i="6"/>
  <c r="N26" i="6" s="1"/>
  <c r="L20" i="7"/>
  <c r="J11" i="1"/>
  <c r="J7" i="1"/>
  <c r="L7" i="1"/>
  <c r="K10" i="6"/>
  <c r="N10" i="6" s="1"/>
  <c r="K23" i="6"/>
  <c r="N23" i="6" s="1"/>
  <c r="K25" i="6"/>
  <c r="N25" i="6" s="1"/>
  <c r="K12" i="6"/>
  <c r="N12" i="6" s="1"/>
  <c r="K22" i="6"/>
  <c r="N22" i="6" s="1"/>
  <c r="K9" i="6"/>
  <c r="N9" i="6" s="1"/>
  <c r="J10" i="1"/>
  <c r="J6" i="1"/>
  <c r="L6" i="1"/>
  <c r="J24" i="7"/>
  <c r="C8" i="9"/>
  <c r="C13" i="9"/>
  <c r="K18" i="6"/>
  <c r="N18" i="6" s="1"/>
  <c r="K5" i="6"/>
  <c r="N5" i="6" s="1"/>
  <c r="K19" i="6"/>
  <c r="N19" i="6" s="1"/>
  <c r="K6" i="6"/>
  <c r="N6" i="6" s="1"/>
  <c r="K24" i="6"/>
  <c r="N24" i="6" s="1"/>
  <c r="K11" i="6"/>
  <c r="N11" i="6" s="1"/>
  <c r="J4" i="1"/>
  <c r="J5" i="1"/>
  <c r="L5" i="1"/>
  <c r="D31" i="9"/>
  <c r="E9" i="9"/>
  <c r="I31" i="9"/>
  <c r="C14" i="9"/>
  <c r="I30" i="9" s="1"/>
  <c r="D3" i="10"/>
  <c r="E3" i="10" s="1"/>
  <c r="D10" i="10"/>
  <c r="E10" i="10" s="1"/>
  <c r="F10" i="10" s="1"/>
  <c r="D8" i="10"/>
  <c r="E8" i="10" s="1"/>
  <c r="F8" i="10" s="1"/>
  <c r="D6" i="10"/>
  <c r="E6" i="10" s="1"/>
  <c r="F6" i="10" s="1"/>
  <c r="D4" i="10"/>
  <c r="E4" i="10" s="1"/>
  <c r="F4" i="10" s="1"/>
  <c r="D16" i="10"/>
  <c r="E16" i="10" s="1"/>
  <c r="F16" i="10" s="1"/>
  <c r="D23" i="10"/>
  <c r="E23" i="10" s="1"/>
  <c r="F23" i="10" s="1"/>
  <c r="D21" i="10"/>
  <c r="E21" i="10" s="1"/>
  <c r="F21" i="10" s="1"/>
  <c r="D19" i="10"/>
  <c r="E19" i="10" s="1"/>
  <c r="F19" i="10" s="1"/>
  <c r="D17" i="10"/>
  <c r="E17" i="10" s="1"/>
  <c r="F17" i="10" s="1"/>
  <c r="J31" i="9"/>
  <c r="H31" i="9"/>
  <c r="D11" i="10"/>
  <c r="E11" i="10" s="1"/>
  <c r="F11" i="10" s="1"/>
  <c r="D9" i="10"/>
  <c r="E9" i="10" s="1"/>
  <c r="F9" i="10" s="1"/>
  <c r="D7" i="10"/>
  <c r="E7" i="10" s="1"/>
  <c r="F7" i="10" s="1"/>
  <c r="D5" i="10"/>
  <c r="E5" i="10" s="1"/>
  <c r="F5" i="10" s="1"/>
  <c r="D24" i="10"/>
  <c r="E24" i="10" s="1"/>
  <c r="F24" i="10" s="1"/>
  <c r="D22" i="10"/>
  <c r="E22" i="10" s="1"/>
  <c r="F22" i="10" s="1"/>
  <c r="D20" i="10"/>
  <c r="E20" i="10" s="1"/>
  <c r="F20" i="10" s="1"/>
  <c r="D18" i="10"/>
  <c r="E18" i="10" s="1"/>
  <c r="F18" i="10" s="1"/>
  <c r="G31" i="9"/>
  <c r="C30" i="9"/>
  <c r="E30" i="9"/>
  <c r="F30" i="9"/>
  <c r="C31" i="9"/>
  <c r="E31" i="9"/>
  <c r="D38" i="9"/>
  <c r="F31" i="9"/>
  <c r="B19" i="9"/>
  <c r="B22" i="9" s="1"/>
  <c r="E14" i="9" l="1"/>
  <c r="I36" i="9"/>
  <c r="I38" i="9" s="1"/>
  <c r="E38" i="9"/>
  <c r="C19" i="9"/>
  <c r="C22" i="9" s="1"/>
  <c r="C24" i="9" s="1"/>
  <c r="J30" i="9"/>
  <c r="J38" i="9" s="1"/>
  <c r="G30" i="9"/>
  <c r="G38" i="9" s="1"/>
  <c r="H30" i="9"/>
  <c r="H38" i="9" s="1"/>
  <c r="F3" i="10"/>
  <c r="C36" i="9" s="1"/>
  <c r="C38" i="9" s="1"/>
  <c r="F38" i="9"/>
  <c r="C23" i="9" l="1"/>
</calcChain>
</file>

<file path=xl/sharedStrings.xml><?xml version="1.0" encoding="utf-8"?>
<sst xmlns="http://schemas.openxmlformats.org/spreadsheetml/2006/main" count="390" uniqueCount="182">
  <si>
    <t>Desde Abril 2015</t>
  </si>
  <si>
    <t>Cat.</t>
  </si>
  <si>
    <t>Sueldo Básico</t>
  </si>
  <si>
    <t>Jornada disc.</t>
  </si>
  <si>
    <t>Comp. mensual por viático</t>
  </si>
  <si>
    <t>Comp. Tarifa Telefónica</t>
  </si>
  <si>
    <t>Plus por Prof.</t>
  </si>
  <si>
    <t>Acta 06-2014</t>
  </si>
  <si>
    <t>G</t>
  </si>
  <si>
    <t>H</t>
  </si>
  <si>
    <t>H1</t>
  </si>
  <si>
    <t>I</t>
  </si>
  <si>
    <t>I1</t>
  </si>
  <si>
    <t>J</t>
  </si>
  <si>
    <t>J1</t>
  </si>
  <si>
    <t>j2</t>
  </si>
  <si>
    <t>K</t>
  </si>
  <si>
    <t>Ant.por año</t>
  </si>
  <si>
    <t>Total</t>
  </si>
  <si>
    <t>Antigüedad</t>
  </si>
  <si>
    <t>Guardia x H</t>
  </si>
  <si>
    <t>Día Hábil</t>
  </si>
  <si>
    <t>Becas</t>
  </si>
  <si>
    <t>Capacitación x H</t>
  </si>
  <si>
    <t>Turno Especial</t>
  </si>
  <si>
    <t>Viatico Diario</t>
  </si>
  <si>
    <t>Incremento</t>
  </si>
  <si>
    <t>Categoría</t>
  </si>
  <si>
    <t>J2</t>
  </si>
  <si>
    <t>Básico</t>
  </si>
  <si>
    <t>Jornada Discontinua</t>
  </si>
  <si>
    <t>Acuerdo 30-6-15</t>
  </si>
  <si>
    <t>Compensación mensual por Viáticos</t>
  </si>
  <si>
    <t>Compensación Tarifa Telefónica</t>
  </si>
  <si>
    <t>Concepto</t>
  </si>
  <si>
    <t>Valores desde jul-15</t>
  </si>
  <si>
    <t>Valores desde</t>
  </si>
  <si>
    <t>Capacitación (x hora)</t>
  </si>
  <si>
    <t>Guardería</t>
  </si>
  <si>
    <t>Acta junio 2014</t>
  </si>
  <si>
    <t xml:space="preserve">Acta Categorías Sep 14 </t>
  </si>
  <si>
    <t>Acta  2015</t>
  </si>
  <si>
    <t>Acta Sep - 14</t>
  </si>
  <si>
    <t>A Septiembre 2015</t>
  </si>
  <si>
    <t>A Enero 2016</t>
  </si>
  <si>
    <t>2 - Acuerdo 03-09-14 punto SEGUNDO</t>
  </si>
  <si>
    <t>3 - Acta Sep - 14</t>
  </si>
  <si>
    <t>Propuesta TASA</t>
  </si>
  <si>
    <t>Plus Prof 1+2+3</t>
  </si>
  <si>
    <t>“Día del Telefónico” y “Sac s/Día del Telefónico”</t>
  </si>
  <si>
    <t>Propuesta</t>
  </si>
  <si>
    <t>Control</t>
  </si>
  <si>
    <t>Desde junio 2015</t>
  </si>
  <si>
    <t>Acta Sep</t>
  </si>
  <si>
    <t>Propuesta Empresas</t>
  </si>
  <si>
    <t>% real</t>
  </si>
  <si>
    <t>al 17,60%</t>
  </si>
  <si>
    <t>Delta $</t>
  </si>
  <si>
    <t>Delta %</t>
  </si>
  <si>
    <t>Julio</t>
  </si>
  <si>
    <t>Enero</t>
  </si>
  <si>
    <t>Desayuno</t>
  </si>
  <si>
    <t>Almuerzo</t>
  </si>
  <si>
    <t>Cena</t>
  </si>
  <si>
    <t>Alojamiento</t>
  </si>
  <si>
    <t>Gastos Menores</t>
  </si>
  <si>
    <t>Total Viático diario</t>
  </si>
  <si>
    <t>Ene</t>
  </si>
  <si>
    <t>Analisis de la masa salarial a distribuir en categoria TECO</t>
  </si>
  <si>
    <t>Dif 1° Tramo</t>
  </si>
  <si>
    <t>Semestral</t>
  </si>
  <si>
    <t>Dif. 2°Tramo</t>
  </si>
  <si>
    <t>Anual X Cat.</t>
  </si>
  <si>
    <t>Impacto Salarial TECO</t>
  </si>
  <si>
    <t>Q</t>
  </si>
  <si>
    <t>VU</t>
  </si>
  <si>
    <t>Impacto anual</t>
  </si>
  <si>
    <t>PROFESIONAL G</t>
  </si>
  <si>
    <t>PROFESIONAL H</t>
  </si>
  <si>
    <t>PROFESIONAL H1</t>
  </si>
  <si>
    <t>PROFESIONAL I</t>
  </si>
  <si>
    <t>PROFESIONAL I1</t>
  </si>
  <si>
    <t>PROFESIONAL J</t>
  </si>
  <si>
    <t>PROFESIONAL J1</t>
  </si>
  <si>
    <t>Masa</t>
  </si>
  <si>
    <t>Delta salarial</t>
  </si>
  <si>
    <t>Delta Sem.</t>
  </si>
  <si>
    <t xml:space="preserve">Q </t>
  </si>
  <si>
    <t>GRAT. EXT.</t>
  </si>
  <si>
    <t>SAC</t>
  </si>
  <si>
    <t>SUBTOTAL</t>
  </si>
  <si>
    <t>Cobrado GE</t>
  </si>
  <si>
    <t>Cobrado SAC</t>
  </si>
  <si>
    <t>Total Cobrado</t>
  </si>
  <si>
    <t>Viaticos TASA</t>
  </si>
  <si>
    <t>Cobrado Agosto 2014</t>
  </si>
  <si>
    <t>Propuesta Dia del Telefónico a pagar en Enero 2016</t>
  </si>
  <si>
    <t>Adicional Marzo</t>
  </si>
  <si>
    <t>( a descontar en Marzo)</t>
  </si>
  <si>
    <t>Anticipo Agosto</t>
  </si>
  <si>
    <t>Anticipo Noviembre</t>
  </si>
  <si>
    <t>Nuevo Bono Marzo</t>
  </si>
  <si>
    <t>Igual en ambas</t>
  </si>
  <si>
    <t>A partir de Enero 2016</t>
  </si>
  <si>
    <t>Adicional función Crítica</t>
  </si>
  <si>
    <t>Unificación de actas</t>
  </si>
  <si>
    <t>1- Plus por Prof.</t>
  </si>
  <si>
    <t>Nota: Base de comparación Valores al 01/04/2015</t>
  </si>
  <si>
    <t>Incr</t>
  </si>
  <si>
    <t>%</t>
  </si>
  <si>
    <t>Categoria</t>
  </si>
  <si>
    <t>Salario a Septiembre 2015</t>
  </si>
  <si>
    <t>Conformado</t>
  </si>
  <si>
    <t>Salario a Junio 2015</t>
  </si>
  <si>
    <t>Aumento a Septiembre 2015</t>
  </si>
  <si>
    <t>Aumento a Enero 2016</t>
  </si>
  <si>
    <t>Incremento anual</t>
  </si>
  <si>
    <t>Salario</t>
  </si>
  <si>
    <t>Bono</t>
  </si>
  <si>
    <t>Dia Telefonico</t>
  </si>
  <si>
    <t>Incremento anual $</t>
  </si>
  <si>
    <t>Incremento anual %</t>
  </si>
  <si>
    <t>Estimador del Incremento individual</t>
  </si>
  <si>
    <t>Cobrado</t>
  </si>
  <si>
    <t>a Cobrar</t>
  </si>
  <si>
    <t>%  del salario</t>
  </si>
  <si>
    <t>Salario Conformado</t>
  </si>
  <si>
    <t>Neto</t>
  </si>
  <si>
    <t>Productividad</t>
  </si>
  <si>
    <t>SAC (estimado)</t>
  </si>
  <si>
    <t>antigüedad</t>
  </si>
  <si>
    <t>Total Bono</t>
  </si>
  <si>
    <t>Real Bono</t>
  </si>
  <si>
    <t>Septiembre</t>
  </si>
  <si>
    <t>Marzo</t>
  </si>
  <si>
    <t>Salario a Enero 2016</t>
  </si>
  <si>
    <t>Ajuste (cobrado en Agosto)</t>
  </si>
  <si>
    <t>Retroactivo (por Agosto)</t>
  </si>
  <si>
    <t xml:space="preserve">Bono </t>
  </si>
  <si>
    <t>Dia del Telefonico</t>
  </si>
  <si>
    <t>Nota: siempre manteniendo misma antigüedad y categoria entre Junio 2015 y Ene 2016</t>
  </si>
  <si>
    <t>Plus  Prof. 1+ 2+3</t>
  </si>
  <si>
    <t>Item</t>
  </si>
  <si>
    <t>Total REM</t>
  </si>
  <si>
    <t>Remunerativos</t>
  </si>
  <si>
    <t>ENERO</t>
  </si>
  <si>
    <t>Valor HE</t>
  </si>
  <si>
    <t>Nota: el incremento anual se calcula sobre el supuesto de misma categoria y antigüedad al año anterior, incluyendo productividad</t>
  </si>
  <si>
    <t>H. E. diurna (50%)</t>
  </si>
  <si>
    <t>H.E. Nocturna (70%)</t>
  </si>
  <si>
    <t>H.E. Feriado (100%)</t>
  </si>
  <si>
    <t>H.E. Noct. Fer. (126%)</t>
  </si>
  <si>
    <t>Antig</t>
  </si>
  <si>
    <t>Tipo Hora</t>
  </si>
  <si>
    <t>Hora Extra valores Estimados</t>
  </si>
  <si>
    <t>Incremento Calculado con base a Junio 2015</t>
  </si>
  <si>
    <t>Nota: los cálculos No incluyen Descuentos de Obra Social, Jubilacion, Ganancias, Sindicato. Ni adicionales (H.Extras, Ajuste encuadre, Turnos, Guardias, etc.)</t>
  </si>
  <si>
    <t xml:space="preserve">Evolución Estimada de Pago según preacuerdo </t>
  </si>
  <si>
    <t>Conformado sin adicionales, ni descuentos</t>
  </si>
  <si>
    <t>No remunerativo</t>
  </si>
  <si>
    <t>A partir de Sept. 2015</t>
  </si>
  <si>
    <t>Guardia Especial (hora día hábil)</t>
  </si>
  <si>
    <t>Preacuerdo Salarial 2015-16</t>
  </si>
  <si>
    <t>Delta Tasa  Teco</t>
  </si>
  <si>
    <t>Plus Prof. dd Ene-16</t>
  </si>
  <si>
    <t>G*</t>
  </si>
  <si>
    <t>* No existe Cat. En TASA</t>
  </si>
  <si>
    <t>H1*</t>
  </si>
  <si>
    <t>Adicionales</t>
  </si>
  <si>
    <t>Plus Prof. Prop TASA Ene-16</t>
  </si>
  <si>
    <t>Incluye SAC</t>
  </si>
  <si>
    <t>Propuesta unificación Actas dd Ene -16 (Cepetel)</t>
  </si>
  <si>
    <t>Bono Día del Telefónico</t>
  </si>
  <si>
    <t>Valores desde Jul-15</t>
  </si>
  <si>
    <t>Valores desde Ene - 16</t>
  </si>
  <si>
    <t>Valores desde Jul -15</t>
  </si>
  <si>
    <t>Valores desde Ene-16</t>
  </si>
  <si>
    <t>Viaticos TECO</t>
  </si>
  <si>
    <t>Gratificación Especial  por retraso salarial</t>
  </si>
  <si>
    <t>Viático diario TASA</t>
  </si>
  <si>
    <t>Viático diario TECO</t>
  </si>
  <si>
    <t>Adicional Torreros (TECO)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</si>
</sst>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\ #,##0;[Red]&quot;$&quot;\ \-#,##0"/>
    <numFmt numFmtId="8" formatCode="&quot;$&quot;\ #,##0.00;[Red]&quot;$&quot;\ \-#,##0.00"/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0.0%"/>
    <numFmt numFmtId="165" formatCode="_ * #,##0_ ;_ * \-#,##0_ ;_ * &quot;-&quot;??_ ;_ @_ "/>
  </numFmts>
  <fonts count="48" x14ac:knownFonts="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9"/>
      <name val="Calibri"/>
      <family val="2"/>
    </font>
    <font>
      <b/>
      <sz val="9"/>
      <color indexed="9"/>
      <name val="Calibri"/>
      <family val="2"/>
    </font>
    <font>
      <sz val="11"/>
      <color indexed="63"/>
      <name val="Calibri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9"/>
      <color indexed="9"/>
      <name val="Calibri"/>
      <family val="2"/>
    </font>
    <font>
      <i/>
      <sz val="10"/>
      <color indexed="63"/>
      <name val="Calibri"/>
      <family val="2"/>
    </font>
    <font>
      <i/>
      <sz val="10"/>
      <color indexed="8"/>
      <name val="Calibri"/>
      <family val="2"/>
    </font>
    <font>
      <b/>
      <sz val="11"/>
      <name val="Calibri"/>
      <family val="2"/>
    </font>
    <font>
      <b/>
      <sz val="10"/>
      <color indexed="63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55555"/>
      <name val="Arial"/>
      <family val="2"/>
    </font>
    <font>
      <sz val="11"/>
      <color rgb="FF555555"/>
      <name val="Arial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FFFFFF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8"/>
      <color theme="1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dotted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dott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0" fillId="16" borderId="0" applyNumberFormat="0" applyBorder="0" applyAlignment="0" applyProtection="0"/>
    <xf numFmtId="0" fontId="41" fillId="17" borderId="46" applyNumberFormat="0" applyAlignment="0" applyProtection="0"/>
  </cellStyleXfs>
  <cellXfs count="31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6" fontId="0" fillId="0" borderId="0" xfId="0" applyNumberFormat="1"/>
    <xf numFmtId="8" fontId="0" fillId="0" borderId="0" xfId="0" applyNumberForma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0" fillId="0" borderId="1" xfId="0" applyBorder="1"/>
    <xf numFmtId="0" fontId="22" fillId="4" borderId="8" xfId="0" applyFont="1" applyFill="1" applyBorder="1" applyAlignment="1">
      <alignment horizontal="center" wrapText="1"/>
    </xf>
    <xf numFmtId="0" fontId="22" fillId="4" borderId="9" xfId="0" applyFont="1" applyFill="1" applyBorder="1" applyAlignment="1">
      <alignment horizontal="center" wrapText="1"/>
    </xf>
    <xf numFmtId="0" fontId="23" fillId="4" borderId="10" xfId="0" applyFont="1" applyFill="1" applyBorder="1" applyAlignment="1">
      <alignment horizontal="center"/>
    </xf>
    <xf numFmtId="3" fontId="24" fillId="0" borderId="11" xfId="0" applyNumberFormat="1" applyFont="1" applyBorder="1" applyAlignment="1">
      <alignment horizontal="center"/>
    </xf>
    <xf numFmtId="3" fontId="25" fillId="0" borderId="11" xfId="0" applyNumberFormat="1" applyFont="1" applyBorder="1" applyAlignment="1">
      <alignment horizontal="center"/>
    </xf>
    <xf numFmtId="3" fontId="0" fillId="0" borderId="1" xfId="0" applyNumberFormat="1" applyBorder="1"/>
    <xf numFmtId="8" fontId="2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wrapText="1"/>
    </xf>
    <xf numFmtId="3" fontId="5" fillId="0" borderId="1" xfId="0" applyNumberFormat="1" applyFont="1" applyFill="1" applyBorder="1" applyAlignment="1">
      <alignment wrapText="1"/>
    </xf>
    <xf numFmtId="3" fontId="6" fillId="0" borderId="1" xfId="0" applyNumberFormat="1" applyFont="1" applyBorder="1" applyAlignment="1">
      <alignment horizontal="right" vertical="top"/>
    </xf>
    <xf numFmtId="3" fontId="29" fillId="7" borderId="1" xfId="0" applyNumberFormat="1" applyFont="1" applyFill="1" applyBorder="1"/>
    <xf numFmtId="3" fontId="30" fillId="7" borderId="1" xfId="0" applyNumberFormat="1" applyFont="1" applyFill="1" applyBorder="1"/>
    <xf numFmtId="0" fontId="8" fillId="2" borderId="19" xfId="0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right" vertical="top"/>
    </xf>
    <xf numFmtId="3" fontId="0" fillId="9" borderId="1" xfId="0" applyNumberFormat="1" applyFill="1" applyBorder="1"/>
    <xf numFmtId="0" fontId="11" fillId="8" borderId="0" xfId="0" applyFont="1" applyFill="1" applyBorder="1" applyAlignment="1">
      <alignment horizontal="center"/>
    </xf>
    <xf numFmtId="0" fontId="15" fillId="0" borderId="0" xfId="0" applyFont="1"/>
    <xf numFmtId="3" fontId="24" fillId="6" borderId="8" xfId="0" applyNumberFormat="1" applyFont="1" applyFill="1" applyBorder="1" applyAlignment="1">
      <alignment horizontal="center"/>
    </xf>
    <xf numFmtId="0" fontId="24" fillId="6" borderId="9" xfId="0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 wrapText="1"/>
    </xf>
    <xf numFmtId="0" fontId="32" fillId="3" borderId="3" xfId="0" applyFont="1" applyFill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4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6" fontId="28" fillId="7" borderId="5" xfId="0" applyNumberFormat="1" applyFont="1" applyFill="1" applyBorder="1" applyAlignment="1">
      <alignment horizontal="center"/>
    </xf>
    <xf numFmtId="6" fontId="28" fillId="7" borderId="7" xfId="0" applyNumberFormat="1" applyFont="1" applyFill="1" applyBorder="1" applyAlignment="1">
      <alignment horizontal="center"/>
    </xf>
    <xf numFmtId="6" fontId="33" fillId="0" borderId="5" xfId="0" applyNumberFormat="1" applyFont="1" applyBorder="1" applyAlignment="1">
      <alignment horizontal="center"/>
    </xf>
    <xf numFmtId="6" fontId="33" fillId="0" borderId="7" xfId="0" applyNumberFormat="1" applyFont="1" applyBorder="1" applyAlignment="1">
      <alignment horizontal="center"/>
    </xf>
    <xf numFmtId="43" fontId="14" fillId="0" borderId="0" xfId="1" applyFont="1"/>
    <xf numFmtId="10" fontId="16" fillId="0" borderId="1" xfId="0" applyNumberFormat="1" applyFont="1" applyBorder="1" applyAlignment="1">
      <alignment horizontal="center" vertical="center" wrapText="1"/>
    </xf>
    <xf numFmtId="6" fontId="17" fillId="0" borderId="1" xfId="0" applyNumberFormat="1" applyFont="1" applyBorder="1" applyAlignment="1">
      <alignment horizontal="center" wrapText="1"/>
    </xf>
    <xf numFmtId="6" fontId="33" fillId="0" borderId="1" xfId="0" applyNumberFormat="1" applyFont="1" applyBorder="1" applyAlignment="1">
      <alignment horizontal="center"/>
    </xf>
    <xf numFmtId="165" fontId="14" fillId="0" borderId="1" xfId="1" applyNumberFormat="1" applyFont="1" applyBorder="1"/>
    <xf numFmtId="1" fontId="0" fillId="0" borderId="1" xfId="0" applyNumberFormat="1" applyBorder="1"/>
    <xf numFmtId="0" fontId="35" fillId="0" borderId="0" xfId="0" applyFont="1" applyFill="1" applyBorder="1" applyAlignment="1">
      <alignment horizontal="center"/>
    </xf>
    <xf numFmtId="10" fontId="14" fillId="0" borderId="1" xfId="3" applyNumberFormat="1" applyFont="1" applyBorder="1"/>
    <xf numFmtId="0" fontId="36" fillId="0" borderId="0" xfId="0" applyFont="1"/>
    <xf numFmtId="8" fontId="0" fillId="0" borderId="1" xfId="0" applyNumberFormat="1" applyBorder="1"/>
    <xf numFmtId="0" fontId="0" fillId="0" borderId="1" xfId="0" applyBorder="1" applyAlignment="1">
      <alignment horizontal="center"/>
    </xf>
    <xf numFmtId="6" fontId="33" fillId="0" borderId="12" xfId="0" applyNumberFormat="1" applyFont="1" applyBorder="1" applyAlignment="1">
      <alignment horizontal="center"/>
    </xf>
    <xf numFmtId="6" fontId="33" fillId="0" borderId="13" xfId="0" applyNumberFormat="1" applyFont="1" applyBorder="1" applyAlignment="1">
      <alignment horizontal="center"/>
    </xf>
    <xf numFmtId="0" fontId="27" fillId="0" borderId="0" xfId="0" applyFont="1" applyBorder="1"/>
    <xf numFmtId="6" fontId="28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34" fillId="7" borderId="0" xfId="0" applyFont="1" applyFill="1" applyAlignment="1">
      <alignment horizontal="center"/>
    </xf>
    <xf numFmtId="43" fontId="0" fillId="0" borderId="1" xfId="0" applyNumberFormat="1" applyBorder="1"/>
    <xf numFmtId="0" fontId="15" fillId="0" borderId="29" xfId="0" applyFont="1" applyBorder="1"/>
    <xf numFmtId="43" fontId="15" fillId="0" borderId="29" xfId="0" applyNumberFormat="1" applyFont="1" applyBorder="1"/>
    <xf numFmtId="43" fontId="14" fillId="0" borderId="1" xfId="1" applyFont="1" applyBorder="1"/>
    <xf numFmtId="0" fontId="0" fillId="9" borderId="1" xfId="0" applyFill="1" applyBorder="1"/>
    <xf numFmtId="43" fontId="14" fillId="0" borderId="1" xfId="1" applyFont="1" applyBorder="1" applyAlignment="1">
      <alignment horizontal="center"/>
    </xf>
    <xf numFmtId="0" fontId="15" fillId="0" borderId="30" xfId="0" applyFont="1" applyBorder="1"/>
    <xf numFmtId="43" fontId="15" fillId="0" borderId="30" xfId="0" applyNumberFormat="1" applyFont="1" applyBorder="1"/>
    <xf numFmtId="8" fontId="28" fillId="0" borderId="31" xfId="0" applyNumberFormat="1" applyFont="1" applyBorder="1" applyAlignment="1">
      <alignment horizontal="center"/>
    </xf>
    <xf numFmtId="0" fontId="18" fillId="3" borderId="26" xfId="0" applyFont="1" applyFill="1" applyBorder="1" applyAlignment="1">
      <alignment horizontal="center" wrapText="1"/>
    </xf>
    <xf numFmtId="0" fontId="18" fillId="3" borderId="32" xfId="0" applyFont="1" applyFill="1" applyBorder="1" applyAlignment="1">
      <alignment horizontal="center" wrapText="1"/>
    </xf>
    <xf numFmtId="0" fontId="20" fillId="0" borderId="27" xfId="0" applyFont="1" applyBorder="1"/>
    <xf numFmtId="6" fontId="20" fillId="0" borderId="5" xfId="0" applyNumberFormat="1" applyFont="1" applyBorder="1" applyAlignment="1">
      <alignment horizontal="center"/>
    </xf>
    <xf numFmtId="0" fontId="20" fillId="0" borderId="28" xfId="0" applyFont="1" applyBorder="1"/>
    <xf numFmtId="0" fontId="19" fillId="9" borderId="1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43" fontId="34" fillId="0" borderId="1" xfId="1" applyFont="1" applyBorder="1"/>
    <xf numFmtId="0" fontId="37" fillId="0" borderId="9" xfId="0" applyFont="1" applyBorder="1" applyAlignment="1">
      <alignment horizontal="center" wrapText="1"/>
    </xf>
    <xf numFmtId="6" fontId="37" fillId="0" borderId="10" xfId="0" applyNumberFormat="1" applyFont="1" applyBorder="1" applyAlignment="1">
      <alignment horizontal="right"/>
    </xf>
    <xf numFmtId="6" fontId="37" fillId="0" borderId="11" xfId="0" applyNumberFormat="1" applyFont="1" applyBorder="1" applyAlignment="1">
      <alignment horizontal="right"/>
    </xf>
    <xf numFmtId="0" fontId="1" fillId="2" borderId="15" xfId="0" applyFont="1" applyFill="1" applyBorder="1" applyAlignment="1">
      <alignment horizontal="center" vertical="center" wrapText="1"/>
    </xf>
    <xf numFmtId="6" fontId="32" fillId="0" borderId="5" xfId="0" applyNumberFormat="1" applyFont="1" applyBorder="1" applyAlignment="1">
      <alignment horizontal="center"/>
    </xf>
    <xf numFmtId="6" fontId="32" fillId="8" borderId="5" xfId="0" applyNumberFormat="1" applyFont="1" applyFill="1" applyBorder="1" applyAlignment="1">
      <alignment horizontal="center"/>
    </xf>
    <xf numFmtId="3" fontId="24" fillId="6" borderId="35" xfId="0" applyNumberFormat="1" applyFont="1" applyFill="1" applyBorder="1" applyAlignment="1">
      <alignment horizontal="center"/>
    </xf>
    <xf numFmtId="0" fontId="24" fillId="6" borderId="36" xfId="0" applyFont="1" applyFill="1" applyBorder="1" applyAlignment="1">
      <alignment horizontal="center"/>
    </xf>
    <xf numFmtId="3" fontId="0" fillId="9" borderId="29" xfId="0" applyNumberFormat="1" applyFill="1" applyBorder="1"/>
    <xf numFmtId="0" fontId="0" fillId="0" borderId="22" xfId="0" applyBorder="1" applyAlignment="1">
      <alignment horizontal="center"/>
    </xf>
    <xf numFmtId="8" fontId="0" fillId="0" borderId="22" xfId="0" applyNumberFormat="1" applyBorder="1"/>
    <xf numFmtId="0" fontId="26" fillId="3" borderId="36" xfId="0" applyFont="1" applyFill="1" applyBorder="1" applyAlignment="1">
      <alignment horizontal="center"/>
    </xf>
    <xf numFmtId="17" fontId="26" fillId="3" borderId="38" xfId="0" applyNumberFormat="1" applyFont="1" applyFill="1" applyBorder="1" applyAlignment="1">
      <alignment horizontal="center"/>
    </xf>
    <xf numFmtId="8" fontId="28" fillId="0" borderId="40" xfId="0" applyNumberFormat="1" applyFont="1" applyBorder="1" applyAlignment="1">
      <alignment horizontal="center"/>
    </xf>
    <xf numFmtId="8" fontId="28" fillId="0" borderId="14" xfId="0" applyNumberFormat="1" applyFont="1" applyBorder="1" applyAlignment="1">
      <alignment horizontal="center"/>
    </xf>
    <xf numFmtId="8" fontId="28" fillId="0" borderId="44" xfId="0" applyNumberFormat="1" applyFont="1" applyBorder="1" applyAlignment="1">
      <alignment horizontal="center"/>
    </xf>
    <xf numFmtId="0" fontId="38" fillId="0" borderId="0" xfId="0" applyFont="1" applyBorder="1"/>
    <xf numFmtId="0" fontId="39" fillId="0" borderId="0" xfId="0" applyFont="1"/>
    <xf numFmtId="0" fontId="1" fillId="2" borderId="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3" fontId="0" fillId="0" borderId="43" xfId="0" applyNumberFormat="1" applyBorder="1"/>
    <xf numFmtId="9" fontId="0" fillId="0" borderId="43" xfId="3" applyNumberFormat="1" applyFont="1" applyBorder="1"/>
    <xf numFmtId="43" fontId="0" fillId="0" borderId="0" xfId="1" applyFont="1"/>
    <xf numFmtId="44" fontId="0" fillId="0" borderId="0" xfId="2" applyFont="1"/>
    <xf numFmtId="0" fontId="15" fillId="0" borderId="1" xfId="0" applyFont="1" applyBorder="1" applyAlignment="1">
      <alignment horizontal="center" vertical="justify" wrapText="1"/>
    </xf>
    <xf numFmtId="0" fontId="15" fillId="12" borderId="1" xfId="0" applyFont="1" applyFill="1" applyBorder="1"/>
    <xf numFmtId="43" fontId="15" fillId="0" borderId="0" xfId="0" applyNumberFormat="1" applyFont="1"/>
    <xf numFmtId="10" fontId="15" fillId="0" borderId="0" xfId="3" applyNumberFormat="1" applyFont="1"/>
    <xf numFmtId="0" fontId="0" fillId="0" borderId="33" xfId="0" applyBorder="1"/>
    <xf numFmtId="43" fontId="0" fillId="0" borderId="33" xfId="1" applyFont="1" applyBorder="1"/>
    <xf numFmtId="17" fontId="0" fillId="0" borderId="33" xfId="0" applyNumberFormat="1" applyBorder="1"/>
    <xf numFmtId="0" fontId="15" fillId="13" borderId="0" xfId="0" applyFont="1" applyFill="1"/>
    <xf numFmtId="44" fontId="15" fillId="13" borderId="0" xfId="2" applyFont="1" applyFill="1"/>
    <xf numFmtId="8" fontId="15" fillId="13" borderId="0" xfId="0" applyNumberFormat="1" applyFont="1" applyFill="1"/>
    <xf numFmtId="9" fontId="15" fillId="13" borderId="0" xfId="3" applyNumberFormat="1" applyFont="1" applyFill="1"/>
    <xf numFmtId="0" fontId="15" fillId="15" borderId="0" xfId="0" applyFont="1" applyFill="1"/>
    <xf numFmtId="43" fontId="15" fillId="15" borderId="0" xfId="0" applyNumberFormat="1" applyFont="1" applyFill="1"/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6" fontId="20" fillId="0" borderId="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0" fillId="0" borderId="0" xfId="0" applyNumberFormat="1" applyBorder="1"/>
    <xf numFmtId="9" fontId="0" fillId="0" borderId="0" xfId="3" applyNumberFormat="1" applyFont="1" applyBorder="1"/>
    <xf numFmtId="3" fontId="5" fillId="8" borderId="0" xfId="0" applyNumberFormat="1" applyFont="1" applyFill="1" applyBorder="1" applyAlignment="1">
      <alignment wrapText="1"/>
    </xf>
    <xf numFmtId="0" fontId="18" fillId="8" borderId="0" xfId="0" applyFont="1" applyFill="1" applyBorder="1" applyAlignment="1">
      <alignment horizontal="center" wrapText="1"/>
    </xf>
    <xf numFmtId="0" fontId="19" fillId="9" borderId="22" xfId="0" applyFont="1" applyFill="1" applyBorder="1" applyAlignment="1">
      <alignment horizontal="center" wrapText="1"/>
    </xf>
    <xf numFmtId="43" fontId="14" fillId="0" borderId="22" xfId="1" applyFont="1" applyBorder="1"/>
    <xf numFmtId="0" fontId="19" fillId="3" borderId="48" xfId="0" applyFont="1" applyFill="1" applyBorder="1" applyAlignment="1">
      <alignment horizontal="center" wrapText="1"/>
    </xf>
    <xf numFmtId="0" fontId="19" fillId="3" borderId="49" xfId="0" applyFont="1" applyFill="1" applyBorder="1" applyAlignment="1">
      <alignment horizontal="center" wrapText="1"/>
    </xf>
    <xf numFmtId="0" fontId="18" fillId="3" borderId="51" xfId="0" applyFont="1" applyFill="1" applyBorder="1" applyAlignment="1">
      <alignment horizontal="center" wrapText="1"/>
    </xf>
    <xf numFmtId="0" fontId="19" fillId="3" borderId="51" xfId="0" applyFont="1" applyFill="1" applyBorder="1" applyAlignment="1">
      <alignment horizontal="center" wrapText="1"/>
    </xf>
    <xf numFmtId="0" fontId="21" fillId="0" borderId="42" xfId="0" applyFont="1" applyBorder="1" applyAlignment="1">
      <alignment horizontal="center" wrapText="1"/>
    </xf>
    <xf numFmtId="8" fontId="21" fillId="0" borderId="43" xfId="0" applyNumberFormat="1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52" xfId="0" applyFont="1" applyBorder="1" applyAlignment="1">
      <alignment horizontal="center"/>
    </xf>
    <xf numFmtId="8" fontId="21" fillId="0" borderId="53" xfId="0" applyNumberFormat="1" applyFont="1" applyBorder="1" applyAlignment="1">
      <alignment horizontal="center"/>
    </xf>
    <xf numFmtId="6" fontId="21" fillId="0" borderId="40" xfId="0" applyNumberFormat="1" applyFont="1" applyBorder="1" applyAlignment="1">
      <alignment horizontal="center"/>
    </xf>
    <xf numFmtId="6" fontId="21" fillId="0" borderId="11" xfId="0" applyNumberFormat="1" applyFont="1" applyBorder="1" applyAlignment="1">
      <alignment horizontal="center"/>
    </xf>
    <xf numFmtId="0" fontId="32" fillId="3" borderId="54" xfId="0" applyFont="1" applyFill="1" applyBorder="1" applyAlignment="1">
      <alignment horizontal="center" wrapText="1"/>
    </xf>
    <xf numFmtId="0" fontId="32" fillId="3" borderId="55" xfId="0" applyFont="1" applyFill="1" applyBorder="1" applyAlignment="1">
      <alignment horizontal="center" vertical="justify" wrapText="1"/>
    </xf>
    <xf numFmtId="0" fontId="32" fillId="3" borderId="56" xfId="0" applyFont="1" applyFill="1" applyBorder="1" applyAlignment="1">
      <alignment horizontal="center" vertical="justify" wrapText="1"/>
    </xf>
    <xf numFmtId="0" fontId="27" fillId="0" borderId="57" xfId="0" applyFont="1" applyBorder="1"/>
    <xf numFmtId="6" fontId="33" fillId="0" borderId="40" xfId="0" applyNumberFormat="1" applyFont="1" applyBorder="1" applyAlignment="1">
      <alignment horizontal="center"/>
    </xf>
    <xf numFmtId="0" fontId="27" fillId="0" borderId="58" xfId="0" applyFont="1" applyBorder="1"/>
    <xf numFmtId="6" fontId="33" fillId="0" borderId="38" xfId="0" applyNumberFormat="1" applyFont="1" applyBorder="1" applyAlignment="1">
      <alignment horizontal="center"/>
    </xf>
    <xf numFmtId="0" fontId="26" fillId="0" borderId="59" xfId="0" applyFont="1" applyBorder="1"/>
    <xf numFmtId="6" fontId="35" fillId="0" borderId="50" xfId="0" applyNumberFormat="1" applyFont="1" applyBorder="1" applyAlignment="1">
      <alignment horizontal="center"/>
    </xf>
    <xf numFmtId="6" fontId="35" fillId="0" borderId="11" xfId="0" applyNumberFormat="1" applyFont="1" applyBorder="1" applyAlignment="1">
      <alignment horizontal="center"/>
    </xf>
    <xf numFmtId="6" fontId="20" fillId="0" borderId="25" xfId="0" applyNumberFormat="1" applyFont="1" applyBorder="1" applyAlignment="1">
      <alignment horizontal="center"/>
    </xf>
    <xf numFmtId="6" fontId="20" fillId="0" borderId="24" xfId="0" applyNumberFormat="1" applyFont="1" applyBorder="1" applyAlignment="1">
      <alignment horizontal="center"/>
    </xf>
    <xf numFmtId="6" fontId="20" fillId="0" borderId="10" xfId="0" applyNumberFormat="1" applyFont="1" applyBorder="1" applyAlignment="1">
      <alignment horizontal="center"/>
    </xf>
    <xf numFmtId="0" fontId="1" fillId="11" borderId="43" xfId="0" applyFont="1" applyFill="1" applyBorder="1" applyAlignment="1">
      <alignment horizontal="center" vertical="center" wrapText="1"/>
    </xf>
    <xf numFmtId="0" fontId="0" fillId="0" borderId="61" xfId="0" applyBorder="1"/>
    <xf numFmtId="3" fontId="24" fillId="6" borderId="10" xfId="0" applyNumberFormat="1" applyFont="1" applyFill="1" applyBorder="1" applyAlignment="1">
      <alignment horizontal="center"/>
    </xf>
    <xf numFmtId="0" fontId="24" fillId="6" borderId="11" xfId="0" applyFont="1" applyFill="1" applyBorder="1" applyAlignment="1">
      <alignment horizontal="center"/>
    </xf>
    <xf numFmtId="3" fontId="0" fillId="9" borderId="62" xfId="0" applyNumberFormat="1" applyFill="1" applyBorder="1"/>
    <xf numFmtId="3" fontId="0" fillId="0" borderId="34" xfId="0" applyNumberFormat="1" applyBorder="1"/>
    <xf numFmtId="3" fontId="0" fillId="0" borderId="63" xfId="0" applyNumberFormat="1" applyBorder="1"/>
    <xf numFmtId="9" fontId="0" fillId="0" borderId="63" xfId="3" applyNumberFormat="1" applyFont="1" applyBorder="1"/>
    <xf numFmtId="0" fontId="22" fillId="4" borderId="43" xfId="0" applyFont="1" applyFill="1" applyBorder="1" applyAlignment="1">
      <alignment horizontal="center" vertical="center" wrapText="1"/>
    </xf>
    <xf numFmtId="0" fontId="22" fillId="9" borderId="43" xfId="0" applyFont="1" applyFill="1" applyBorder="1" applyAlignment="1">
      <alignment horizontal="center" vertical="center" wrapText="1"/>
    </xf>
    <xf numFmtId="0" fontId="22" fillId="10" borderId="43" xfId="0" applyFont="1" applyFill="1" applyBorder="1" applyAlignment="1">
      <alignment horizontal="center" vertical="center" wrapText="1"/>
    </xf>
    <xf numFmtId="3" fontId="4" fillId="0" borderId="34" xfId="0" applyNumberFormat="1" applyFont="1" applyFill="1" applyBorder="1" applyAlignment="1">
      <alignment wrapText="1"/>
    </xf>
    <xf numFmtId="3" fontId="5" fillId="0" borderId="34" xfId="0" applyNumberFormat="1" applyFont="1" applyFill="1" applyBorder="1" applyAlignment="1">
      <alignment wrapText="1"/>
    </xf>
    <xf numFmtId="3" fontId="6" fillId="0" borderId="34" xfId="0" applyNumberFormat="1" applyFont="1" applyBorder="1" applyAlignment="1">
      <alignment horizontal="right" vertical="top"/>
    </xf>
    <xf numFmtId="3" fontId="29" fillId="7" borderId="34" xfId="0" applyNumberFormat="1" applyFont="1" applyFill="1" applyBorder="1"/>
    <xf numFmtId="0" fontId="3" fillId="2" borderId="4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44" fillId="17" borderId="46" xfId="5" applyFont="1"/>
    <xf numFmtId="0" fontId="40" fillId="16" borderId="47" xfId="4" applyBorder="1" applyAlignment="1" applyProtection="1">
      <alignment horizontal="center" vertical="center"/>
      <protection locked="0"/>
    </xf>
    <xf numFmtId="17" fontId="42" fillId="18" borderId="43" xfId="0" applyNumberFormat="1" applyFont="1" applyFill="1" applyBorder="1" applyAlignment="1">
      <alignment horizontal="center"/>
    </xf>
    <xf numFmtId="44" fontId="0" fillId="0" borderId="43" xfId="2" applyFont="1" applyBorder="1"/>
    <xf numFmtId="0" fontId="0" fillId="0" borderId="43" xfId="0" applyBorder="1"/>
    <xf numFmtId="0" fontId="15" fillId="14" borderId="43" xfId="0" applyFont="1" applyFill="1" applyBorder="1"/>
    <xf numFmtId="0" fontId="0" fillId="14" borderId="43" xfId="0" applyFill="1" applyBorder="1"/>
    <xf numFmtId="44" fontId="15" fillId="14" borderId="43" xfId="0" applyNumberFormat="1" applyFont="1" applyFill="1" applyBorder="1"/>
    <xf numFmtId="0" fontId="1" fillId="2" borderId="65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/>
    </xf>
    <xf numFmtId="43" fontId="0" fillId="0" borderId="1" xfId="1" applyFont="1" applyBorder="1"/>
    <xf numFmtId="0" fontId="22" fillId="4" borderId="66" xfId="0" applyFont="1" applyFill="1" applyBorder="1" applyAlignment="1">
      <alignment horizontal="center" vertical="center" wrapText="1"/>
    </xf>
    <xf numFmtId="3" fontId="24" fillId="5" borderId="2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65" xfId="3" applyFont="1" applyFill="1" applyBorder="1" applyAlignment="1">
      <alignment horizontal="center" vertical="center" wrapText="1"/>
    </xf>
    <xf numFmtId="9" fontId="0" fillId="0" borderId="1" xfId="0" applyNumberFormat="1" applyBorder="1"/>
    <xf numFmtId="9" fontId="0" fillId="0" borderId="1" xfId="3" applyFont="1" applyBorder="1"/>
    <xf numFmtId="0" fontId="23" fillId="4" borderId="1" xfId="0" applyFont="1" applyFill="1" applyBorder="1" applyAlignment="1">
      <alignment horizontal="center"/>
    </xf>
    <xf numFmtId="0" fontId="22" fillId="4" borderId="63" xfId="0" applyFont="1" applyFill="1" applyBorder="1" applyAlignment="1">
      <alignment horizontal="center" vertical="center" wrapText="1"/>
    </xf>
    <xf numFmtId="164" fontId="15" fillId="0" borderId="1" xfId="3" applyNumberFormat="1" applyFont="1" applyBorder="1"/>
    <xf numFmtId="9" fontId="15" fillId="0" borderId="1" xfId="3" applyFont="1" applyBorder="1"/>
    <xf numFmtId="0" fontId="19" fillId="8" borderId="0" xfId="0" applyFont="1" applyFill="1" applyBorder="1" applyAlignment="1">
      <alignment horizontal="center"/>
    </xf>
    <xf numFmtId="0" fontId="15" fillId="8" borderId="0" xfId="0" applyFont="1" applyFill="1"/>
    <xf numFmtId="44" fontId="15" fillId="8" borderId="0" xfId="2" applyFont="1" applyFill="1"/>
    <xf numFmtId="0" fontId="31" fillId="3" borderId="4" xfId="0" applyFont="1" applyFill="1" applyBorder="1" applyAlignment="1">
      <alignment horizontal="center" wrapText="1"/>
    </xf>
    <xf numFmtId="0" fontId="32" fillId="3" borderId="5" xfId="0" applyFont="1" applyFill="1" applyBorder="1" applyAlignment="1">
      <alignment horizontal="center" wrapText="1"/>
    </xf>
    <xf numFmtId="8" fontId="28" fillId="0" borderId="64" xfId="0" applyNumberFormat="1" applyFont="1" applyBorder="1" applyAlignment="1">
      <alignment horizontal="center"/>
    </xf>
    <xf numFmtId="0" fontId="45" fillId="0" borderId="77" xfId="0" applyFont="1" applyFill="1" applyBorder="1" applyAlignment="1"/>
    <xf numFmtId="43" fontId="14" fillId="0" borderId="0" xfId="1" applyFont="1" applyBorder="1"/>
    <xf numFmtId="43" fontId="34" fillId="0" borderId="0" xfId="1" applyFont="1" applyBorder="1"/>
    <xf numFmtId="0" fontId="2" fillId="8" borderId="0" xfId="0" applyFont="1" applyFill="1" applyBorder="1" applyAlignment="1">
      <alignment horizontal="center"/>
    </xf>
    <xf numFmtId="0" fontId="23" fillId="4" borderId="42" xfId="0" applyFont="1" applyFill="1" applyBorder="1" applyAlignment="1">
      <alignment horizontal="center"/>
    </xf>
    <xf numFmtId="3" fontId="24" fillId="0" borderId="43" xfId="0" applyNumberFormat="1" applyFont="1" applyBorder="1" applyAlignment="1">
      <alignment horizontal="center"/>
    </xf>
    <xf numFmtId="3" fontId="25" fillId="0" borderId="43" xfId="0" applyNumberFormat="1" applyFont="1" applyBorder="1" applyAlignment="1">
      <alignment horizontal="center"/>
    </xf>
    <xf numFmtId="3" fontId="24" fillId="13" borderId="43" xfId="0" applyNumberFormat="1" applyFont="1" applyFill="1" applyBorder="1" applyAlignment="1">
      <alignment horizontal="center"/>
    </xf>
    <xf numFmtId="0" fontId="24" fillId="13" borderId="43" xfId="0" applyFont="1" applyFill="1" applyBorder="1" applyAlignment="1">
      <alignment horizontal="center"/>
    </xf>
    <xf numFmtId="3" fontId="0" fillId="7" borderId="43" xfId="0" applyNumberFormat="1" applyFill="1" applyBorder="1"/>
    <xf numFmtId="3" fontId="24" fillId="5" borderId="43" xfId="0" applyNumberFormat="1" applyFont="1" applyFill="1" applyBorder="1" applyAlignment="1">
      <alignment horizontal="center"/>
    </xf>
    <xf numFmtId="3" fontId="25" fillId="5" borderId="43" xfId="0" applyNumberFormat="1" applyFont="1" applyFill="1" applyBorder="1" applyAlignment="1">
      <alignment horizontal="center"/>
    </xf>
    <xf numFmtId="0" fontId="25" fillId="5" borderId="43" xfId="0" applyFont="1" applyFill="1" applyBorder="1" applyAlignment="1">
      <alignment horizontal="center"/>
    </xf>
    <xf numFmtId="3" fontId="0" fillId="13" borderId="43" xfId="0" applyNumberFormat="1" applyFill="1" applyBorder="1"/>
    <xf numFmtId="0" fontId="23" fillId="4" borderId="52" xfId="0" applyFont="1" applyFill="1" applyBorder="1" applyAlignment="1">
      <alignment horizontal="center"/>
    </xf>
    <xf numFmtId="3" fontId="24" fillId="0" borderId="53" xfId="0" applyNumberFormat="1" applyFont="1" applyBorder="1" applyAlignment="1">
      <alignment horizontal="center"/>
    </xf>
    <xf numFmtId="3" fontId="25" fillId="0" borderId="53" xfId="0" applyNumberFormat="1" applyFont="1" applyBorder="1" applyAlignment="1">
      <alignment horizontal="center"/>
    </xf>
    <xf numFmtId="3" fontId="24" fillId="13" borderId="53" xfId="0" applyNumberFormat="1" applyFont="1" applyFill="1" applyBorder="1" applyAlignment="1">
      <alignment horizontal="center"/>
    </xf>
    <xf numFmtId="0" fontId="24" fillId="13" borderId="53" xfId="0" applyFont="1" applyFill="1" applyBorder="1" applyAlignment="1">
      <alignment horizontal="center"/>
    </xf>
    <xf numFmtId="3" fontId="0" fillId="13" borderId="53" xfId="0" applyNumberFormat="1" applyFill="1" applyBorder="1"/>
    <xf numFmtId="3" fontId="24" fillId="5" borderId="53" xfId="0" applyNumberFormat="1" applyFont="1" applyFill="1" applyBorder="1" applyAlignment="1">
      <alignment horizontal="center"/>
    </xf>
    <xf numFmtId="3" fontId="25" fillId="5" borderId="53" xfId="0" applyNumberFormat="1" applyFont="1" applyFill="1" applyBorder="1" applyAlignment="1">
      <alignment horizontal="center"/>
    </xf>
    <xf numFmtId="0" fontId="25" fillId="5" borderId="53" xfId="0" applyFont="1" applyFill="1" applyBorder="1" applyAlignment="1">
      <alignment horizontal="center"/>
    </xf>
    <xf numFmtId="0" fontId="15" fillId="0" borderId="0" xfId="0" applyFont="1" applyBorder="1"/>
    <xf numFmtId="3" fontId="15" fillId="0" borderId="0" xfId="0" applyNumberFormat="1" applyFont="1" applyBorder="1"/>
    <xf numFmtId="43" fontId="15" fillId="0" borderId="0" xfId="1" applyFont="1" applyFill="1" applyBorder="1" applyAlignment="1"/>
    <xf numFmtId="3" fontId="15" fillId="0" borderId="43" xfId="0" applyNumberFormat="1" applyFont="1" applyBorder="1"/>
    <xf numFmtId="3" fontId="0" fillId="22" borderId="43" xfId="0" applyNumberFormat="1" applyFill="1" applyBorder="1"/>
    <xf numFmtId="165" fontId="0" fillId="0" borderId="43" xfId="1" applyNumberFormat="1" applyFont="1" applyBorder="1"/>
    <xf numFmtId="3" fontId="15" fillId="0" borderId="53" xfId="0" applyNumberFormat="1" applyFont="1" applyBorder="1"/>
    <xf numFmtId="3" fontId="0" fillId="0" borderId="53" xfId="0" applyNumberFormat="1" applyBorder="1"/>
    <xf numFmtId="165" fontId="0" fillId="0" borderId="53" xfId="1" applyNumberFormat="1" applyFont="1" applyBorder="1"/>
    <xf numFmtId="9" fontId="0" fillId="0" borderId="53" xfId="3" applyNumberFormat="1" applyFont="1" applyBorder="1"/>
    <xf numFmtId="0" fontId="2" fillId="2" borderId="42" xfId="0" applyFont="1" applyFill="1" applyBorder="1" applyAlignment="1">
      <alignment horizontal="center"/>
    </xf>
    <xf numFmtId="3" fontId="4" fillId="0" borderId="43" xfId="0" applyNumberFormat="1" applyFont="1" applyFill="1" applyBorder="1" applyAlignment="1">
      <alignment wrapText="1"/>
    </xf>
    <xf numFmtId="3" fontId="5" fillId="0" borderId="43" xfId="0" applyNumberFormat="1" applyFont="1" applyFill="1" applyBorder="1" applyAlignment="1">
      <alignment wrapText="1"/>
    </xf>
    <xf numFmtId="3" fontId="6" fillId="0" borderId="43" xfId="0" applyNumberFormat="1" applyFont="1" applyBorder="1" applyAlignment="1">
      <alignment horizontal="right" vertical="top"/>
    </xf>
    <xf numFmtId="3" fontId="29" fillId="8" borderId="43" xfId="0" applyNumberFormat="1" applyFont="1" applyFill="1" applyBorder="1"/>
    <xf numFmtId="3" fontId="5" fillId="8" borderId="43" xfId="0" applyNumberFormat="1" applyFont="1" applyFill="1" applyBorder="1" applyAlignment="1">
      <alignment wrapText="1"/>
    </xf>
    <xf numFmtId="3" fontId="30" fillId="8" borderId="43" xfId="0" applyNumberFormat="1" applyFont="1" applyFill="1" applyBorder="1"/>
    <xf numFmtId="0" fontId="8" fillId="2" borderId="42" xfId="0" applyFont="1" applyFill="1" applyBorder="1" applyAlignment="1">
      <alignment horizontal="center"/>
    </xf>
    <xf numFmtId="3" fontId="10" fillId="0" borderId="43" xfId="0" applyNumberFormat="1" applyFont="1" applyBorder="1" applyAlignment="1">
      <alignment horizontal="right" vertical="top"/>
    </xf>
    <xf numFmtId="3" fontId="9" fillId="8" borderId="43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center" vertical="justify" wrapText="1"/>
    </xf>
    <xf numFmtId="10" fontId="14" fillId="0" borderId="0" xfId="3" applyNumberFormat="1" applyFont="1" applyBorder="1"/>
    <xf numFmtId="0" fontId="31" fillId="3" borderId="48" xfId="0" applyFont="1" applyFill="1" applyBorder="1" applyAlignment="1">
      <alignment horizontal="center" wrapText="1"/>
    </xf>
    <xf numFmtId="0" fontId="32" fillId="3" borderId="49" xfId="0" applyFont="1" applyFill="1" applyBorder="1" applyAlignment="1">
      <alignment horizontal="center" wrapText="1"/>
    </xf>
    <xf numFmtId="0" fontId="33" fillId="0" borderId="39" xfId="0" applyFont="1" applyBorder="1" applyAlignment="1">
      <alignment horizontal="center" wrapText="1"/>
    </xf>
    <xf numFmtId="0" fontId="33" fillId="0" borderId="39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6" fontId="33" fillId="0" borderId="11" xfId="0" applyNumberFormat="1" applyFont="1" applyBorder="1" applyAlignment="1">
      <alignment horizontal="center"/>
    </xf>
    <xf numFmtId="0" fontId="22" fillId="20" borderId="63" xfId="0" applyFont="1" applyFill="1" applyBorder="1" applyAlignment="1">
      <alignment horizontal="center" vertical="center" wrapText="1"/>
    </xf>
    <xf numFmtId="3" fontId="12" fillId="21" borderId="1" xfId="0" applyNumberFormat="1" applyFont="1" applyFill="1" applyBorder="1" applyAlignment="1">
      <alignment horizontal="center" vertical="center" wrapText="1"/>
    </xf>
    <xf numFmtId="3" fontId="7" fillId="21" borderId="1" xfId="0" applyNumberFormat="1" applyFont="1" applyFill="1" applyBorder="1" applyAlignment="1">
      <alignment horizontal="center" vertical="center"/>
    </xf>
    <xf numFmtId="0" fontId="22" fillId="6" borderId="63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6" fontId="18" fillId="0" borderId="35" xfId="0" applyNumberFormat="1" applyFont="1" applyBorder="1" applyAlignment="1">
      <alignment vertical="center" wrapText="1"/>
    </xf>
    <xf numFmtId="6" fontId="18" fillId="0" borderId="67" xfId="0" applyNumberFormat="1" applyFont="1" applyBorder="1" applyAlignment="1">
      <alignment vertical="center" wrapText="1"/>
    </xf>
    <xf numFmtId="6" fontId="18" fillId="0" borderId="10" xfId="0" applyNumberFormat="1" applyFont="1" applyBorder="1" applyAlignment="1">
      <alignment vertical="center" wrapText="1"/>
    </xf>
    <xf numFmtId="6" fontId="47" fillId="0" borderId="2" xfId="0" applyNumberFormat="1" applyFont="1" applyBorder="1" applyAlignment="1">
      <alignment horizontal="center"/>
    </xf>
    <xf numFmtId="6" fontId="47" fillId="0" borderId="4" xfId="0" applyNumberFormat="1" applyFont="1" applyBorder="1" applyAlignment="1">
      <alignment horizontal="center"/>
    </xf>
    <xf numFmtId="6" fontId="47" fillId="0" borderId="80" xfId="0" applyNumberFormat="1" applyFont="1" applyBorder="1" applyAlignment="1">
      <alignment horizontal="center"/>
    </xf>
    <xf numFmtId="6" fontId="47" fillId="0" borderId="6" xfId="0" applyNumberFormat="1" applyFont="1" applyBorder="1" applyAlignment="1">
      <alignment horizontal="center"/>
    </xf>
    <xf numFmtId="0" fontId="46" fillId="3" borderId="79" xfId="0" applyFont="1" applyFill="1" applyBorder="1" applyAlignment="1">
      <alignment horizontal="center" vertical="distributed" wrapText="1"/>
    </xf>
    <xf numFmtId="6" fontId="18" fillId="0" borderId="24" xfId="0" applyNumberFormat="1" applyFont="1" applyBorder="1" applyAlignment="1">
      <alignment horizontal="center"/>
    </xf>
    <xf numFmtId="6" fontId="46" fillId="0" borderId="79" xfId="0" applyNumberFormat="1" applyFont="1" applyBorder="1" applyAlignment="1">
      <alignment horizontal="center"/>
    </xf>
    <xf numFmtId="0" fontId="32" fillId="3" borderId="81" xfId="0" applyFont="1" applyFill="1" applyBorder="1" applyAlignment="1">
      <alignment horizontal="center" wrapText="1"/>
    </xf>
    <xf numFmtId="0" fontId="32" fillId="3" borderId="70" xfId="0" applyFont="1" applyFill="1" applyBorder="1" applyAlignment="1">
      <alignment horizontal="center" vertical="justify" wrapText="1"/>
    </xf>
    <xf numFmtId="0" fontId="32" fillId="3" borderId="36" xfId="0" applyFont="1" applyFill="1" applyBorder="1" applyAlignment="1">
      <alignment horizontal="center" vertical="justify" wrapText="1"/>
    </xf>
    <xf numFmtId="0" fontId="26" fillId="0" borderId="82" xfId="0" applyFont="1" applyBorder="1"/>
    <xf numFmtId="6" fontId="35" fillId="0" borderId="83" xfId="0" applyNumberFormat="1" applyFont="1" applyBorder="1" applyAlignment="1">
      <alignment horizontal="center"/>
    </xf>
    <xf numFmtId="6" fontId="35" fillId="0" borderId="9" xfId="0" applyNumberFormat="1" applyFont="1" applyBorder="1" applyAlignment="1">
      <alignment horizontal="center"/>
    </xf>
    <xf numFmtId="0" fontId="18" fillId="0" borderId="59" xfId="0" applyFont="1" applyBorder="1"/>
    <xf numFmtId="6" fontId="46" fillId="0" borderId="84" xfId="0" applyNumberFormat="1" applyFont="1" applyBorder="1" applyAlignment="1">
      <alignment horizontal="center"/>
    </xf>
    <xf numFmtId="6" fontId="18" fillId="0" borderId="85" xfId="0" applyNumberFormat="1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2" xfId="0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0" fillId="0" borderId="43" xfId="0" applyBorder="1"/>
    <xf numFmtId="0" fontId="15" fillId="0" borderId="1" xfId="0" applyFont="1" applyBorder="1" applyAlignment="1">
      <alignment horizontal="center"/>
    </xf>
    <xf numFmtId="0" fontId="42" fillId="18" borderId="43" xfId="0" applyFont="1" applyFill="1" applyBorder="1" applyAlignment="1">
      <alignment horizontal="center"/>
    </xf>
    <xf numFmtId="0" fontId="43" fillId="18" borderId="43" xfId="0" applyFont="1" applyFill="1" applyBorder="1"/>
    <xf numFmtId="0" fontId="26" fillId="0" borderId="21" xfId="0" applyFont="1" applyFill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26" fillId="3" borderId="70" xfId="0" applyFont="1" applyFill="1" applyBorder="1" applyAlignment="1">
      <alignment horizontal="center" vertical="distributed"/>
    </xf>
    <xf numFmtId="0" fontId="26" fillId="3" borderId="13" xfId="0" applyFont="1" applyFill="1" applyBorder="1" applyAlignment="1">
      <alignment horizontal="center" vertical="distributed"/>
    </xf>
    <xf numFmtId="0" fontId="15" fillId="0" borderId="3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19" fillId="0" borderId="33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27" fillId="0" borderId="74" xfId="0" applyFont="1" applyBorder="1" applyAlignment="1">
      <alignment horizontal="center"/>
    </xf>
    <xf numFmtId="0" fontId="27" fillId="0" borderId="75" xfId="0" applyFont="1" applyBorder="1" applyAlignment="1">
      <alignment horizontal="center"/>
    </xf>
    <xf numFmtId="0" fontId="27" fillId="8" borderId="74" xfId="0" applyFont="1" applyFill="1" applyBorder="1" applyAlignment="1">
      <alignment horizontal="center"/>
    </xf>
    <xf numFmtId="0" fontId="27" fillId="8" borderId="75" xfId="0" applyFont="1" applyFill="1" applyBorder="1" applyAlignment="1">
      <alignment horizontal="center"/>
    </xf>
    <xf numFmtId="6" fontId="28" fillId="0" borderId="72" xfId="0" applyNumberFormat="1" applyFont="1" applyBorder="1" applyAlignment="1">
      <alignment horizontal="center"/>
    </xf>
    <xf numFmtId="6" fontId="28" fillId="0" borderId="69" xfId="0" applyNumberFormat="1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27" fillId="0" borderId="69" xfId="0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26" fillId="3" borderId="71" xfId="0" applyFont="1" applyFill="1" applyBorder="1" applyAlignment="1">
      <alignment horizontal="center"/>
    </xf>
    <xf numFmtId="0" fontId="26" fillId="3" borderId="36" xfId="0" applyFont="1" applyFill="1" applyBorder="1" applyAlignment="1">
      <alignment horizontal="center"/>
    </xf>
    <xf numFmtId="0" fontId="26" fillId="3" borderId="37" xfId="0" applyFont="1" applyFill="1" applyBorder="1" applyAlignment="1">
      <alignment horizontal="center"/>
    </xf>
    <xf numFmtId="0" fontId="26" fillId="3" borderId="11" xfId="0" applyFont="1" applyFill="1" applyBorder="1" applyAlignment="1">
      <alignment horizontal="center"/>
    </xf>
    <xf numFmtId="0" fontId="27" fillId="0" borderId="73" xfId="0" applyFont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34" fillId="0" borderId="78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9" fillId="19" borderId="29" xfId="0" applyFont="1" applyFill="1" applyBorder="1" applyAlignment="1">
      <alignment horizontal="center" vertical="justify" wrapText="1"/>
    </xf>
    <xf numFmtId="0" fontId="29" fillId="19" borderId="60" xfId="0" applyFont="1" applyFill="1" applyBorder="1" applyAlignment="1">
      <alignment horizontal="center" vertical="justify" wrapText="1"/>
    </xf>
    <xf numFmtId="0" fontId="29" fillId="19" borderId="34" xfId="0" applyFont="1" applyFill="1" applyBorder="1" applyAlignment="1">
      <alignment horizontal="center" vertical="justify" wrapText="1"/>
    </xf>
  </cellXfs>
  <cellStyles count="6">
    <cellStyle name="Buena" xfId="4" builtinId="26"/>
    <cellStyle name="Entrada" xfId="5" builtinId="20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</xdr:row>
      <xdr:rowOff>95250</xdr:rowOff>
    </xdr:from>
    <xdr:to>
      <xdr:col>5</xdr:col>
      <xdr:colOff>0</xdr:colOff>
      <xdr:row>4</xdr:row>
      <xdr:rowOff>133351</xdr:rowOff>
    </xdr:to>
    <xdr:sp macro="" textlink="">
      <xdr:nvSpPr>
        <xdr:cNvPr id="2" name="1 Llamada con línea 2"/>
        <xdr:cNvSpPr/>
      </xdr:nvSpPr>
      <xdr:spPr>
        <a:xfrm>
          <a:off x="2562225" y="285750"/>
          <a:ext cx="1485900" cy="657226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49218"/>
            <a:gd name="adj6" fmla="val -475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AR" sz="1100"/>
            <a:t>Insertar Categoria  y cantidad</a:t>
          </a:r>
          <a:r>
            <a:rPr lang="es-AR" sz="1100" baseline="0"/>
            <a:t> de años</a:t>
          </a:r>
          <a:endParaRPr lang="es-AR" sz="1100"/>
        </a:p>
      </xdr:txBody>
    </xdr:sp>
    <xdr:clientData/>
  </xdr:twoCellAnchor>
  <xdr:twoCellAnchor>
    <xdr:from>
      <xdr:col>10</xdr:col>
      <xdr:colOff>57150</xdr:colOff>
      <xdr:row>35</xdr:row>
      <xdr:rowOff>38099</xdr:rowOff>
    </xdr:from>
    <xdr:to>
      <xdr:col>11</xdr:col>
      <xdr:colOff>638175</xdr:colOff>
      <xdr:row>37</xdr:row>
      <xdr:rowOff>142872</xdr:rowOff>
    </xdr:to>
    <xdr:sp macro="" textlink="">
      <xdr:nvSpPr>
        <xdr:cNvPr id="3" name="2 Llamada con línea 1"/>
        <xdr:cNvSpPr/>
      </xdr:nvSpPr>
      <xdr:spPr>
        <a:xfrm>
          <a:off x="7915275" y="6638924"/>
          <a:ext cx="1343025" cy="485773"/>
        </a:xfrm>
        <a:prstGeom prst="borderCallout1">
          <a:avLst>
            <a:gd name="adj1" fmla="val 18750"/>
            <a:gd name="adj2" fmla="val -8333"/>
            <a:gd name="adj3" fmla="val -56130"/>
            <a:gd name="adj4" fmla="val -5268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AR" sz="1100"/>
            <a:t>Cobrado en</a:t>
          </a:r>
          <a:r>
            <a:rPr lang="es-AR" sz="1100" baseline="0"/>
            <a:t> Agosto y Noviembre</a:t>
          </a:r>
          <a:r>
            <a:rPr lang="es-AR" sz="1100"/>
            <a:t> </a:t>
          </a:r>
        </a:p>
      </xdr:txBody>
    </xdr:sp>
    <xdr:clientData/>
  </xdr:twoCellAnchor>
  <xdr:twoCellAnchor>
    <xdr:from>
      <xdr:col>5</xdr:col>
      <xdr:colOff>240031</xdr:colOff>
      <xdr:row>6</xdr:row>
      <xdr:rowOff>57150</xdr:rowOff>
    </xdr:from>
    <xdr:to>
      <xdr:col>5</xdr:col>
      <xdr:colOff>466725</xdr:colOff>
      <xdr:row>14</xdr:row>
      <xdr:rowOff>133350</xdr:rowOff>
    </xdr:to>
    <xdr:sp macro="" textlink="">
      <xdr:nvSpPr>
        <xdr:cNvPr id="4" name="3 Cerrar llave"/>
        <xdr:cNvSpPr/>
      </xdr:nvSpPr>
      <xdr:spPr>
        <a:xfrm>
          <a:off x="4288156" y="1257300"/>
          <a:ext cx="226694" cy="1600200"/>
        </a:xfrm>
        <a:prstGeom prst="rightBrac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14</xdr:row>
      <xdr:rowOff>133350</xdr:rowOff>
    </xdr:from>
    <xdr:to>
      <xdr:col>13</xdr:col>
      <xdr:colOff>495300</xdr:colOff>
      <xdr:row>15</xdr:row>
      <xdr:rowOff>152400</xdr:rowOff>
    </xdr:to>
    <xdr:cxnSp macro="">
      <xdr:nvCxnSpPr>
        <xdr:cNvPr id="3" name="2 Conector recto de flecha"/>
        <xdr:cNvCxnSpPr/>
      </xdr:nvCxnSpPr>
      <xdr:spPr>
        <a:xfrm>
          <a:off x="5724525" y="2990850"/>
          <a:ext cx="4543425" cy="209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9</xdr:col>
      <xdr:colOff>476250</xdr:colOff>
      <xdr:row>55</xdr:row>
      <xdr:rowOff>85725</xdr:rowOff>
    </xdr:to>
    <xdr:pic>
      <xdr:nvPicPr>
        <xdr:cNvPr id="10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15225"/>
          <a:ext cx="8258175" cy="370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9</xdr:col>
      <xdr:colOff>590550</xdr:colOff>
      <xdr:row>69</xdr:row>
      <xdr:rowOff>28575</xdr:rowOff>
    </xdr:to>
    <xdr:pic>
      <xdr:nvPicPr>
        <xdr:cNvPr id="108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515725"/>
          <a:ext cx="837247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57495\AppData\Local\Microsoft\Windows\Temporary%20Internet%20Files\Content.Outlook\J9O5E7AE\Pre%20Acuerdo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mento indivdual"/>
      <sheetName val="Propuesta Salarial"/>
      <sheetName val="Dia del Telefonico"/>
      <sheetName val="Salarios Jun 15"/>
      <sheetName val="Masa Salarial"/>
      <sheetName val="Bono"/>
    </sheetNames>
    <sheetDataSet>
      <sheetData sheetId="0"/>
      <sheetData sheetId="1"/>
      <sheetData sheetId="2"/>
      <sheetData sheetId="3">
        <row r="5">
          <cell r="I5">
            <v>17151</v>
          </cell>
        </row>
        <row r="6">
          <cell r="I6">
            <v>18394</v>
          </cell>
        </row>
        <row r="7">
          <cell r="I7">
            <v>20137</v>
          </cell>
        </row>
        <row r="8">
          <cell r="I8">
            <v>21782</v>
          </cell>
        </row>
        <row r="9">
          <cell r="I9">
            <v>24416</v>
          </cell>
        </row>
        <row r="10">
          <cell r="I10">
            <v>26829</v>
          </cell>
        </row>
        <row r="11">
          <cell r="I11">
            <v>27099</v>
          </cell>
        </row>
        <row r="12">
          <cell r="I12">
            <v>28362</v>
          </cell>
        </row>
        <row r="14">
          <cell r="B14">
            <v>47.09</v>
          </cell>
        </row>
        <row r="19">
          <cell r="B19">
            <v>655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showGridLines="0" tabSelected="1" workbookViewId="0">
      <selection activeCell="B3" sqref="B3"/>
    </sheetView>
  </sheetViews>
  <sheetFormatPr baseColWidth="10" defaultRowHeight="15" x14ac:dyDescent="0.25"/>
  <cols>
    <col min="1" max="1" width="14.5703125" customWidth="1"/>
    <col min="3" max="3" width="11.85546875" bestFit="1" customWidth="1"/>
  </cols>
  <sheetData>
    <row r="1" spans="1:7" x14ac:dyDescent="0.25">
      <c r="A1" s="27" t="s">
        <v>122</v>
      </c>
    </row>
    <row r="2" spans="1:7" ht="15.75" thickBot="1" x14ac:dyDescent="0.3">
      <c r="A2" s="27"/>
    </row>
    <row r="3" spans="1:7" ht="16.5" thickTop="1" thickBot="1" x14ac:dyDescent="0.3">
      <c r="A3" s="168" t="s">
        <v>110</v>
      </c>
      <c r="B3" s="169" t="s">
        <v>13</v>
      </c>
    </row>
    <row r="4" spans="1:7" ht="16.5" thickTop="1" thickBot="1" x14ac:dyDescent="0.3">
      <c r="A4" s="168" t="s">
        <v>19</v>
      </c>
      <c r="B4" s="169">
        <v>16</v>
      </c>
    </row>
    <row r="5" spans="1:7" ht="12.75" customHeight="1" thickTop="1" x14ac:dyDescent="0.25"/>
    <row r="6" spans="1:7" x14ac:dyDescent="0.25">
      <c r="A6" s="27" t="s">
        <v>114</v>
      </c>
    </row>
    <row r="7" spans="1:7" x14ac:dyDescent="0.25">
      <c r="C7" s="105" t="s">
        <v>112</v>
      </c>
      <c r="D7" s="105" t="s">
        <v>19</v>
      </c>
      <c r="E7" s="105" t="s">
        <v>26</v>
      </c>
    </row>
    <row r="8" spans="1:7" x14ac:dyDescent="0.25">
      <c r="A8" t="s">
        <v>113</v>
      </c>
      <c r="C8" s="100">
        <f>VLOOKUP(B3,'Salarios Jun 15'!$A$4:$I$12,9,FALSE)</f>
        <v>24416</v>
      </c>
      <c r="D8" s="4">
        <f>+B4*'Salarios Jun 15'!B14</f>
        <v>753.44</v>
      </c>
    </row>
    <row r="9" spans="1:7" x14ac:dyDescent="0.25">
      <c r="A9" s="108" t="s">
        <v>111</v>
      </c>
      <c r="B9" s="108"/>
      <c r="C9" s="109">
        <f>VLOOKUP(B3,'Propuesta Salarial'!$A$5:$K$13,10,FALSE)</f>
        <v>29255.200000000001</v>
      </c>
      <c r="D9" s="110">
        <f>+B4*'Propuesta Salarial'!C49</f>
        <v>904.32</v>
      </c>
      <c r="E9" s="111">
        <f>+((C9+D9)-(C8+D8))/C8</f>
        <v>0.20437745740498042</v>
      </c>
    </row>
    <row r="11" spans="1:7" x14ac:dyDescent="0.25">
      <c r="A11" s="27" t="s">
        <v>115</v>
      </c>
      <c r="G11" t="s">
        <v>155</v>
      </c>
    </row>
    <row r="12" spans="1:7" x14ac:dyDescent="0.25">
      <c r="C12" s="105" t="s">
        <v>112</v>
      </c>
      <c r="D12" s="105" t="s">
        <v>19</v>
      </c>
      <c r="E12" s="105" t="s">
        <v>26</v>
      </c>
    </row>
    <row r="13" spans="1:7" x14ac:dyDescent="0.25">
      <c r="A13" t="s">
        <v>113</v>
      </c>
      <c r="C13" s="100">
        <f>VLOOKUP($B3,'Salarios Jun 15'!$A$4:$I$12,9,FALSE)</f>
        <v>24416</v>
      </c>
      <c r="D13" s="4">
        <f>+B4*'Salarios Jun 15'!B14</f>
        <v>753.44</v>
      </c>
    </row>
    <row r="14" spans="1:7" x14ac:dyDescent="0.25">
      <c r="A14" s="108" t="s">
        <v>135</v>
      </c>
      <c r="B14" s="108"/>
      <c r="C14" s="109">
        <f>VLOOKUP(B3,'Propuesta Salarial'!$A$18:$J$26,10,FALSE)</f>
        <v>31142</v>
      </c>
      <c r="D14" s="110">
        <f>+B4*'Propuesta Salarial'!D49</f>
        <v>1091.04</v>
      </c>
      <c r="E14" s="111">
        <f>+((C14+D14)-(C13+D13))/C13</f>
        <v>0.28930209698558329</v>
      </c>
    </row>
    <row r="15" spans="1:7" x14ac:dyDescent="0.25">
      <c r="A15" s="94" t="s">
        <v>140</v>
      </c>
    </row>
    <row r="16" spans="1:7" ht="9" customHeight="1" x14ac:dyDescent="0.25"/>
    <row r="17" spans="1:10" x14ac:dyDescent="0.25">
      <c r="A17" s="27" t="s">
        <v>116</v>
      </c>
    </row>
    <row r="18" spans="1:10" x14ac:dyDescent="0.25">
      <c r="B18" s="107">
        <v>42156</v>
      </c>
      <c r="C18" s="107">
        <v>42370</v>
      </c>
    </row>
    <row r="19" spans="1:10" x14ac:dyDescent="0.25">
      <c r="A19" t="s">
        <v>117</v>
      </c>
      <c r="B19" s="99">
        <f>+(C13+D13)*13.72</f>
        <v>345324.71679999999</v>
      </c>
      <c r="C19" s="99">
        <f>+(C14+D14)*13.72</f>
        <v>442237.30880000006</v>
      </c>
    </row>
    <row r="20" spans="1:10" x14ac:dyDescent="0.25">
      <c r="A20" t="s">
        <v>118</v>
      </c>
      <c r="C20" s="99">
        <v>5400</v>
      </c>
    </row>
    <row r="21" spans="1:10" x14ac:dyDescent="0.25">
      <c r="A21" s="105" t="s">
        <v>119</v>
      </c>
      <c r="B21" s="105"/>
      <c r="C21" s="106">
        <f>VLOOKUP(B3,'Dia del Telefonico'!$A$4:$B$12,2,FALSE)</f>
        <v>4349</v>
      </c>
    </row>
    <row r="22" spans="1:10" x14ac:dyDescent="0.25">
      <c r="A22" s="112" t="s">
        <v>18</v>
      </c>
      <c r="B22" s="113">
        <f>SUM(B19:B21)</f>
        <v>345324.71679999999</v>
      </c>
      <c r="C22" s="113">
        <f>SUM(C19:C21)</f>
        <v>451986.30880000006</v>
      </c>
    </row>
    <row r="23" spans="1:10" x14ac:dyDescent="0.25">
      <c r="A23" s="27" t="s">
        <v>120</v>
      </c>
      <c r="B23" s="27"/>
      <c r="C23" s="103">
        <f>+C22-B22</f>
        <v>106661.59200000006</v>
      </c>
    </row>
    <row r="24" spans="1:10" x14ac:dyDescent="0.25">
      <c r="A24" s="27" t="s">
        <v>121</v>
      </c>
      <c r="B24" s="27"/>
      <c r="C24" s="104">
        <f>+(C22-B22)/B22</f>
        <v>0.30887332070636209</v>
      </c>
    </row>
    <row r="25" spans="1:10" x14ac:dyDescent="0.25">
      <c r="A25" s="94" t="s">
        <v>147</v>
      </c>
      <c r="B25" s="27"/>
      <c r="C25" s="104"/>
    </row>
    <row r="26" spans="1:10" ht="8.25" customHeight="1" x14ac:dyDescent="0.25"/>
    <row r="27" spans="1:10" x14ac:dyDescent="0.25">
      <c r="A27" s="27" t="s">
        <v>157</v>
      </c>
    </row>
    <row r="28" spans="1:10" ht="10.5" customHeight="1" x14ac:dyDescent="0.25">
      <c r="A28" s="94" t="s">
        <v>158</v>
      </c>
    </row>
    <row r="29" spans="1:10" x14ac:dyDescent="0.25">
      <c r="A29" s="275" t="s">
        <v>142</v>
      </c>
      <c r="B29" s="276"/>
      <c r="C29" s="170">
        <v>42248</v>
      </c>
      <c r="D29" s="170">
        <v>42278</v>
      </c>
      <c r="E29" s="170">
        <v>42309</v>
      </c>
      <c r="F29" s="170">
        <v>42339</v>
      </c>
      <c r="G29" s="170">
        <v>42370</v>
      </c>
      <c r="H29" s="170">
        <v>42401</v>
      </c>
      <c r="I29" s="170">
        <v>42430</v>
      </c>
      <c r="J29" s="170">
        <v>42461</v>
      </c>
    </row>
    <row r="30" spans="1:10" x14ac:dyDescent="0.25">
      <c r="A30" s="272" t="s">
        <v>126</v>
      </c>
      <c r="B30" s="273"/>
      <c r="C30" s="171">
        <f>+$C$9</f>
        <v>29255.200000000001</v>
      </c>
      <c r="D30" s="171">
        <f t="shared" ref="D30:F30" si="0">+$C$9</f>
        <v>29255.200000000001</v>
      </c>
      <c r="E30" s="171">
        <f t="shared" si="0"/>
        <v>29255.200000000001</v>
      </c>
      <c r="F30" s="171">
        <f t="shared" si="0"/>
        <v>29255.200000000001</v>
      </c>
      <c r="G30" s="171">
        <f>+$C$14</f>
        <v>31142</v>
      </c>
      <c r="H30" s="171">
        <f t="shared" ref="H30:J30" si="1">+$C$14</f>
        <v>31142</v>
      </c>
      <c r="I30" s="171">
        <f t="shared" si="1"/>
        <v>31142</v>
      </c>
      <c r="J30" s="171">
        <f t="shared" si="1"/>
        <v>31142</v>
      </c>
    </row>
    <row r="31" spans="1:10" x14ac:dyDescent="0.25">
      <c r="A31" s="272" t="s">
        <v>19</v>
      </c>
      <c r="B31" s="273"/>
      <c r="C31" s="171">
        <f>+$D$9</f>
        <v>904.32</v>
      </c>
      <c r="D31" s="171">
        <f t="shared" ref="D31:F31" si="2">+$D$9</f>
        <v>904.32</v>
      </c>
      <c r="E31" s="171">
        <f t="shared" si="2"/>
        <v>904.32</v>
      </c>
      <c r="F31" s="171">
        <f t="shared" si="2"/>
        <v>904.32</v>
      </c>
      <c r="G31" s="171">
        <f>+$D$14</f>
        <v>1091.04</v>
      </c>
      <c r="H31" s="171">
        <f t="shared" ref="H31:J31" si="3">+$D$14</f>
        <v>1091.04</v>
      </c>
      <c r="I31" s="171">
        <f t="shared" si="3"/>
        <v>1091.04</v>
      </c>
      <c r="J31" s="171">
        <f t="shared" si="3"/>
        <v>1091.04</v>
      </c>
    </row>
    <row r="32" spans="1:10" x14ac:dyDescent="0.25">
      <c r="A32" s="272" t="s">
        <v>137</v>
      </c>
      <c r="B32" s="273"/>
      <c r="C32" s="171">
        <f>VLOOKUP(B3,'Propuesta Salarial'!A30:D38,4,FALSE)</f>
        <v>9678</v>
      </c>
      <c r="D32" s="171"/>
      <c r="E32" s="171"/>
      <c r="F32" s="171"/>
      <c r="G32" s="171"/>
      <c r="H32" s="171"/>
      <c r="I32" s="171"/>
      <c r="J32" s="171"/>
    </row>
    <row r="33" spans="1:10" x14ac:dyDescent="0.25">
      <c r="A33" s="272" t="s">
        <v>139</v>
      </c>
      <c r="B33" s="273"/>
      <c r="C33" s="171"/>
      <c r="D33" s="171"/>
      <c r="E33" s="171"/>
      <c r="F33" s="171"/>
      <c r="G33" s="171">
        <f>VLOOKUP($B$3,'Dia del Telefonico'!$A$4:$B$12,2,FALSE)</f>
        <v>4349</v>
      </c>
      <c r="H33" s="171"/>
      <c r="I33" s="171"/>
      <c r="J33" s="171"/>
    </row>
    <row r="34" spans="1:10" x14ac:dyDescent="0.25">
      <c r="A34" s="272" t="s">
        <v>138</v>
      </c>
      <c r="B34" s="273"/>
      <c r="C34" s="171"/>
      <c r="D34" s="171"/>
      <c r="E34" s="171">
        <v>2700</v>
      </c>
      <c r="F34" s="171"/>
      <c r="G34" s="171"/>
      <c r="H34" s="171"/>
      <c r="I34" s="171">
        <v>-5400</v>
      </c>
      <c r="J34" s="171"/>
    </row>
    <row r="35" spans="1:10" x14ac:dyDescent="0.25">
      <c r="A35" s="272" t="s">
        <v>136</v>
      </c>
      <c r="B35" s="273"/>
      <c r="C35" s="171">
        <f>-VLOOKUP(B3,'Propuesta Salarial'!$A$30:$G$38,7,FALSE)</f>
        <v>-4839</v>
      </c>
      <c r="D35" s="171"/>
      <c r="E35" s="171"/>
      <c r="F35" s="171"/>
      <c r="G35" s="172"/>
      <c r="H35" s="171"/>
      <c r="I35" s="171"/>
      <c r="J35" s="171"/>
    </row>
    <row r="36" spans="1:10" x14ac:dyDescent="0.25">
      <c r="A36" s="272" t="s">
        <v>128</v>
      </c>
      <c r="B36" s="273"/>
      <c r="C36" s="171">
        <f>VLOOKUP(B3,Bono!$A$3:$F$11,6,FALSE)</f>
        <v>9304.16</v>
      </c>
      <c r="D36" s="171"/>
      <c r="E36" s="171"/>
      <c r="F36" s="171"/>
      <c r="G36" s="171"/>
      <c r="H36" s="171"/>
      <c r="I36" s="171">
        <f>VLOOKUP(B3,Bono!$A$16:$F$24,6,FALSE)</f>
        <v>11333.02</v>
      </c>
      <c r="J36" s="171"/>
    </row>
    <row r="37" spans="1:10" x14ac:dyDescent="0.25">
      <c r="A37" s="272" t="s">
        <v>129</v>
      </c>
      <c r="B37" s="273"/>
      <c r="C37" s="171"/>
      <c r="D37" s="171"/>
      <c r="E37" s="171"/>
      <c r="F37" s="171">
        <f>VLOOKUP('Calculo indivdual'!$B$3,Bono!$A$29:$I$37,9,FALSE)/2</f>
        <v>14223.76</v>
      </c>
      <c r="G37" s="171"/>
      <c r="H37" s="171"/>
      <c r="I37" s="171"/>
      <c r="J37" s="171"/>
    </row>
    <row r="38" spans="1:10" x14ac:dyDescent="0.25">
      <c r="A38" s="173" t="s">
        <v>127</v>
      </c>
      <c r="B38" s="174"/>
      <c r="C38" s="175">
        <f>SUM(C30:C37)</f>
        <v>44302.680000000008</v>
      </c>
      <c r="D38" s="175">
        <f t="shared" ref="D38:J38" si="4">SUM(D30:D37)</f>
        <v>30159.52</v>
      </c>
      <c r="E38" s="175">
        <f t="shared" si="4"/>
        <v>32859.520000000004</v>
      </c>
      <c r="F38" s="175">
        <f t="shared" si="4"/>
        <v>44383.28</v>
      </c>
      <c r="G38" s="175">
        <f t="shared" si="4"/>
        <v>36582.04</v>
      </c>
      <c r="H38" s="175">
        <f t="shared" si="4"/>
        <v>32233.040000000001</v>
      </c>
      <c r="I38" s="175">
        <f t="shared" si="4"/>
        <v>38166.06</v>
      </c>
      <c r="J38" s="175">
        <f t="shared" si="4"/>
        <v>32233.040000000001</v>
      </c>
    </row>
    <row r="40" spans="1:10" x14ac:dyDescent="0.25">
      <c r="A40" t="s">
        <v>156</v>
      </c>
    </row>
    <row r="41" spans="1:10" ht="9.75" customHeight="1" x14ac:dyDescent="0.25"/>
    <row r="42" spans="1:10" x14ac:dyDescent="0.25">
      <c r="A42" s="27" t="s">
        <v>154</v>
      </c>
    </row>
    <row r="43" spans="1:10" ht="9" customHeight="1" x14ac:dyDescent="0.25"/>
    <row r="44" spans="1:10" x14ac:dyDescent="0.25">
      <c r="A44" s="274" t="s">
        <v>153</v>
      </c>
      <c r="B44" s="274"/>
      <c r="C44" s="114" t="s">
        <v>133</v>
      </c>
      <c r="D44" s="114" t="s">
        <v>60</v>
      </c>
    </row>
    <row r="45" spans="1:10" x14ac:dyDescent="0.25">
      <c r="A45" s="7" t="s">
        <v>148</v>
      </c>
      <c r="B45" s="183"/>
      <c r="C45" s="178">
        <f>VLOOKUP($B$3,Bono!$A$28:$N$37,11,FALSE)</f>
        <v>266.69549999999998</v>
      </c>
      <c r="D45" s="178">
        <f>VLOOKUP($B$3,Bono!$A$42:$N$50,11,FALSE)</f>
        <v>286.13475000000005</v>
      </c>
      <c r="E45" s="99"/>
    </row>
    <row r="46" spans="1:10" x14ac:dyDescent="0.25">
      <c r="A46" s="270" t="s">
        <v>149</v>
      </c>
      <c r="B46" s="271"/>
      <c r="C46" s="178">
        <f>VLOOKUP($B$3,Bono!$A$28:$N$37,12,FALSE)</f>
        <v>302.27267969999997</v>
      </c>
      <c r="D46" s="178">
        <f>VLOOKUP($B$3,Bono!$A$42:$N$50,12,FALSE)</f>
        <v>324.30512565000004</v>
      </c>
      <c r="E46" s="99"/>
    </row>
    <row r="47" spans="1:10" x14ac:dyDescent="0.25">
      <c r="A47" s="7" t="s">
        <v>150</v>
      </c>
      <c r="B47" s="7"/>
      <c r="C47" s="178">
        <f>VLOOKUP($B$3,Bono!$A$28:$N$37,13,FALSE)</f>
        <v>355.59399999999999</v>
      </c>
      <c r="D47" s="178">
        <f>VLOOKUP($B$3,Bono!$A$42:$N$50,13,FALSE)</f>
        <v>381.51300000000003</v>
      </c>
      <c r="E47" s="99"/>
    </row>
    <row r="48" spans="1:10" x14ac:dyDescent="0.25">
      <c r="A48" s="7" t="s">
        <v>151</v>
      </c>
      <c r="B48" s="184"/>
      <c r="C48" s="178">
        <f>VLOOKUP($B$3,Bono!$A$28:$N$37,14,FALSE)</f>
        <v>401.82121999999998</v>
      </c>
      <c r="D48" s="178">
        <f>VLOOKUP($B$3,Bono!$A$42:$N$50,14,FALSE)</f>
        <v>431.10969</v>
      </c>
      <c r="E48" s="99"/>
    </row>
    <row r="49" spans="1:4" hidden="1" x14ac:dyDescent="0.25">
      <c r="A49" s="7"/>
      <c r="B49" s="184"/>
      <c r="C49" s="178"/>
      <c r="D49" s="178"/>
    </row>
    <row r="50" spans="1:4" hidden="1" x14ac:dyDescent="0.25">
      <c r="A50" s="7"/>
      <c r="B50" s="184"/>
      <c r="C50" s="178"/>
      <c r="D50" s="178"/>
    </row>
    <row r="51" spans="1:4" hidden="1" x14ac:dyDescent="0.25">
      <c r="A51" s="164" t="s">
        <v>27</v>
      </c>
      <c r="B51" s="184"/>
      <c r="C51" s="178"/>
      <c r="D51" s="178"/>
    </row>
    <row r="52" spans="1:4" hidden="1" x14ac:dyDescent="0.25">
      <c r="A52" s="55" t="s">
        <v>8</v>
      </c>
      <c r="B52" s="185"/>
      <c r="C52" s="178"/>
      <c r="D52" s="178"/>
    </row>
    <row r="53" spans="1:4" hidden="1" x14ac:dyDescent="0.25">
      <c r="A53" s="56" t="s">
        <v>9</v>
      </c>
      <c r="B53" s="185"/>
      <c r="C53" s="178"/>
      <c r="D53" s="178"/>
    </row>
    <row r="54" spans="1:4" hidden="1" x14ac:dyDescent="0.25">
      <c r="A54" s="56" t="s">
        <v>10</v>
      </c>
      <c r="B54" s="185"/>
      <c r="C54" s="178"/>
      <c r="D54" s="178"/>
    </row>
    <row r="55" spans="1:4" hidden="1" x14ac:dyDescent="0.25">
      <c r="A55" s="56" t="s">
        <v>11</v>
      </c>
      <c r="B55" s="185"/>
      <c r="C55" s="178"/>
      <c r="D55" s="178"/>
    </row>
    <row r="56" spans="1:4" hidden="1" x14ac:dyDescent="0.25">
      <c r="A56" s="56" t="s">
        <v>12</v>
      </c>
      <c r="B56" s="185"/>
      <c r="C56" s="178"/>
      <c r="D56" s="178"/>
    </row>
    <row r="57" spans="1:4" hidden="1" x14ac:dyDescent="0.25">
      <c r="A57" s="56" t="s">
        <v>13</v>
      </c>
      <c r="B57" s="185"/>
      <c r="C57" s="178"/>
      <c r="D57" s="178"/>
    </row>
    <row r="58" spans="1:4" hidden="1" x14ac:dyDescent="0.25">
      <c r="A58" s="56" t="s">
        <v>14</v>
      </c>
      <c r="B58" s="185"/>
      <c r="C58" s="178"/>
      <c r="D58" s="178"/>
    </row>
    <row r="59" spans="1:4" hidden="1" x14ac:dyDescent="0.25">
      <c r="A59" s="23" t="s">
        <v>28</v>
      </c>
      <c r="B59" s="185"/>
      <c r="C59" s="178"/>
      <c r="D59" s="178"/>
    </row>
    <row r="60" spans="1:4" ht="15.75" hidden="1" thickBot="1" x14ac:dyDescent="0.3">
      <c r="A60" s="57" t="s">
        <v>16</v>
      </c>
      <c r="B60" s="185"/>
      <c r="C60" s="178"/>
      <c r="D60" s="178"/>
    </row>
    <row r="61" spans="1:4" hidden="1" x14ac:dyDescent="0.25">
      <c r="A61" s="7"/>
      <c r="B61" s="7"/>
      <c r="C61" s="178"/>
      <c r="D61" s="178"/>
    </row>
    <row r="62" spans="1:4" hidden="1" x14ac:dyDescent="0.25">
      <c r="A62" s="7">
        <v>1</v>
      </c>
      <c r="B62" s="7"/>
      <c r="C62" s="178"/>
      <c r="D62" s="178"/>
    </row>
    <row r="63" spans="1:4" hidden="1" x14ac:dyDescent="0.25">
      <c r="A63" s="7">
        <f>+A62+1</f>
        <v>2</v>
      </c>
      <c r="B63" s="7"/>
      <c r="C63" s="178"/>
      <c r="D63" s="178"/>
    </row>
    <row r="64" spans="1:4" hidden="1" x14ac:dyDescent="0.25">
      <c r="A64" s="7">
        <f t="shared" ref="A64:A106" si="5">+A63+1</f>
        <v>3</v>
      </c>
      <c r="B64" s="7"/>
      <c r="C64" s="178"/>
      <c r="D64" s="178"/>
    </row>
    <row r="65" spans="1:4" hidden="1" x14ac:dyDescent="0.25">
      <c r="A65" s="7">
        <f t="shared" si="5"/>
        <v>4</v>
      </c>
      <c r="B65" s="7"/>
      <c r="C65" s="178"/>
      <c r="D65" s="178"/>
    </row>
    <row r="66" spans="1:4" hidden="1" x14ac:dyDescent="0.25">
      <c r="A66" s="7">
        <f t="shared" si="5"/>
        <v>5</v>
      </c>
      <c r="B66" s="7"/>
      <c r="C66" s="178"/>
      <c r="D66" s="178"/>
    </row>
    <row r="67" spans="1:4" hidden="1" x14ac:dyDescent="0.25">
      <c r="A67" s="7">
        <f t="shared" si="5"/>
        <v>6</v>
      </c>
      <c r="B67" s="7"/>
      <c r="C67" s="178"/>
      <c r="D67" s="178"/>
    </row>
    <row r="68" spans="1:4" hidden="1" x14ac:dyDescent="0.25">
      <c r="A68" s="7">
        <f t="shared" si="5"/>
        <v>7</v>
      </c>
      <c r="B68" s="7"/>
      <c r="C68" s="178"/>
      <c r="D68" s="178"/>
    </row>
    <row r="69" spans="1:4" hidden="1" x14ac:dyDescent="0.25">
      <c r="A69" s="7">
        <f t="shared" si="5"/>
        <v>8</v>
      </c>
      <c r="B69" s="7"/>
      <c r="C69" s="178"/>
      <c r="D69" s="178"/>
    </row>
    <row r="70" spans="1:4" hidden="1" x14ac:dyDescent="0.25">
      <c r="A70" s="7">
        <f t="shared" si="5"/>
        <v>9</v>
      </c>
      <c r="B70" s="7"/>
      <c r="C70" s="178"/>
      <c r="D70" s="178"/>
    </row>
    <row r="71" spans="1:4" hidden="1" x14ac:dyDescent="0.25">
      <c r="A71" s="7">
        <f t="shared" si="5"/>
        <v>10</v>
      </c>
      <c r="B71" s="7"/>
      <c r="C71" s="178"/>
      <c r="D71" s="178"/>
    </row>
    <row r="72" spans="1:4" hidden="1" x14ac:dyDescent="0.25">
      <c r="A72" s="7">
        <f t="shared" si="5"/>
        <v>11</v>
      </c>
      <c r="B72" s="7"/>
      <c r="C72" s="178"/>
      <c r="D72" s="178"/>
    </row>
    <row r="73" spans="1:4" hidden="1" x14ac:dyDescent="0.25">
      <c r="A73" s="7">
        <f t="shared" si="5"/>
        <v>12</v>
      </c>
      <c r="B73" s="7"/>
      <c r="C73" s="178"/>
      <c r="D73" s="178"/>
    </row>
    <row r="74" spans="1:4" hidden="1" x14ac:dyDescent="0.25">
      <c r="A74" s="7">
        <f t="shared" si="5"/>
        <v>13</v>
      </c>
      <c r="B74" s="7"/>
      <c r="C74" s="178"/>
      <c r="D74" s="178"/>
    </row>
    <row r="75" spans="1:4" hidden="1" x14ac:dyDescent="0.25">
      <c r="A75" s="7">
        <f t="shared" si="5"/>
        <v>14</v>
      </c>
      <c r="B75" s="7"/>
      <c r="C75" s="178"/>
      <c r="D75" s="178"/>
    </row>
    <row r="76" spans="1:4" hidden="1" x14ac:dyDescent="0.25">
      <c r="A76" s="7">
        <f t="shared" si="5"/>
        <v>15</v>
      </c>
      <c r="B76" s="7"/>
      <c r="C76" s="178"/>
      <c r="D76" s="178"/>
    </row>
    <row r="77" spans="1:4" hidden="1" x14ac:dyDescent="0.25">
      <c r="A77" s="7">
        <f t="shared" si="5"/>
        <v>16</v>
      </c>
      <c r="B77" s="7"/>
      <c r="C77" s="178"/>
      <c r="D77" s="178"/>
    </row>
    <row r="78" spans="1:4" hidden="1" x14ac:dyDescent="0.25">
      <c r="A78" s="7">
        <f t="shared" si="5"/>
        <v>17</v>
      </c>
      <c r="B78" s="7"/>
      <c r="C78" s="178"/>
      <c r="D78" s="178"/>
    </row>
    <row r="79" spans="1:4" hidden="1" x14ac:dyDescent="0.25">
      <c r="A79" s="7">
        <f t="shared" si="5"/>
        <v>18</v>
      </c>
      <c r="B79" s="7"/>
      <c r="C79" s="178"/>
      <c r="D79" s="178"/>
    </row>
    <row r="80" spans="1:4" hidden="1" x14ac:dyDescent="0.25">
      <c r="A80" s="7">
        <f t="shared" si="5"/>
        <v>19</v>
      </c>
      <c r="B80" s="7"/>
      <c r="C80" s="178"/>
      <c r="D80" s="178"/>
    </row>
    <row r="81" spans="1:4" hidden="1" x14ac:dyDescent="0.25">
      <c r="A81" s="7">
        <f t="shared" si="5"/>
        <v>20</v>
      </c>
      <c r="B81" s="7"/>
      <c r="C81" s="178"/>
      <c r="D81" s="178"/>
    </row>
    <row r="82" spans="1:4" hidden="1" x14ac:dyDescent="0.25">
      <c r="A82" s="7">
        <f t="shared" si="5"/>
        <v>21</v>
      </c>
      <c r="B82" s="7"/>
      <c r="C82" s="178"/>
      <c r="D82" s="178"/>
    </row>
    <row r="83" spans="1:4" hidden="1" x14ac:dyDescent="0.25">
      <c r="A83" s="7">
        <f t="shared" si="5"/>
        <v>22</v>
      </c>
      <c r="B83" s="7"/>
      <c r="C83" s="178"/>
      <c r="D83" s="178"/>
    </row>
    <row r="84" spans="1:4" hidden="1" x14ac:dyDescent="0.25">
      <c r="A84" s="7">
        <f t="shared" si="5"/>
        <v>23</v>
      </c>
      <c r="B84" s="7"/>
      <c r="C84" s="178"/>
      <c r="D84" s="178"/>
    </row>
    <row r="85" spans="1:4" hidden="1" x14ac:dyDescent="0.25">
      <c r="A85" s="7">
        <f t="shared" si="5"/>
        <v>24</v>
      </c>
      <c r="B85" s="7"/>
      <c r="C85" s="178"/>
      <c r="D85" s="178"/>
    </row>
    <row r="86" spans="1:4" hidden="1" x14ac:dyDescent="0.25">
      <c r="A86" s="7">
        <f t="shared" si="5"/>
        <v>25</v>
      </c>
      <c r="B86" s="7"/>
      <c r="C86" s="178"/>
      <c r="D86" s="178"/>
    </row>
    <row r="87" spans="1:4" hidden="1" x14ac:dyDescent="0.25">
      <c r="A87" s="7">
        <f t="shared" si="5"/>
        <v>26</v>
      </c>
      <c r="B87" s="7"/>
      <c r="C87" s="178"/>
      <c r="D87" s="178"/>
    </row>
    <row r="88" spans="1:4" hidden="1" x14ac:dyDescent="0.25">
      <c r="A88" s="7">
        <f t="shared" si="5"/>
        <v>27</v>
      </c>
      <c r="B88" s="7"/>
      <c r="C88" s="178"/>
      <c r="D88" s="178"/>
    </row>
    <row r="89" spans="1:4" hidden="1" x14ac:dyDescent="0.25">
      <c r="A89" s="7">
        <f t="shared" si="5"/>
        <v>28</v>
      </c>
      <c r="B89" s="7"/>
      <c r="C89" s="178"/>
      <c r="D89" s="178"/>
    </row>
    <row r="90" spans="1:4" hidden="1" x14ac:dyDescent="0.25">
      <c r="A90" s="7">
        <f t="shared" si="5"/>
        <v>29</v>
      </c>
      <c r="B90" s="7"/>
      <c r="C90" s="178"/>
      <c r="D90" s="178"/>
    </row>
    <row r="91" spans="1:4" hidden="1" x14ac:dyDescent="0.25">
      <c r="A91" s="7">
        <f t="shared" si="5"/>
        <v>30</v>
      </c>
      <c r="B91" s="7"/>
      <c r="C91" s="178"/>
      <c r="D91" s="178"/>
    </row>
    <row r="92" spans="1:4" hidden="1" x14ac:dyDescent="0.25">
      <c r="A92" s="7">
        <f t="shared" si="5"/>
        <v>31</v>
      </c>
      <c r="B92" s="7"/>
      <c r="C92" s="178"/>
      <c r="D92" s="178"/>
    </row>
    <row r="93" spans="1:4" hidden="1" x14ac:dyDescent="0.25">
      <c r="A93" s="7">
        <f t="shared" si="5"/>
        <v>32</v>
      </c>
      <c r="B93" s="7"/>
      <c r="C93" s="178"/>
      <c r="D93" s="178"/>
    </row>
    <row r="94" spans="1:4" hidden="1" x14ac:dyDescent="0.25">
      <c r="A94" s="7">
        <f t="shared" si="5"/>
        <v>33</v>
      </c>
      <c r="B94" s="7"/>
      <c r="C94" s="178"/>
      <c r="D94" s="178"/>
    </row>
    <row r="95" spans="1:4" hidden="1" x14ac:dyDescent="0.25">
      <c r="A95" s="7">
        <f t="shared" si="5"/>
        <v>34</v>
      </c>
      <c r="B95" s="7"/>
      <c r="C95" s="178"/>
      <c r="D95" s="178"/>
    </row>
    <row r="96" spans="1:4" hidden="1" x14ac:dyDescent="0.25">
      <c r="A96" s="7">
        <f t="shared" si="5"/>
        <v>35</v>
      </c>
      <c r="B96" s="7"/>
      <c r="C96" s="178"/>
      <c r="D96" s="178"/>
    </row>
    <row r="97" spans="1:4" hidden="1" x14ac:dyDescent="0.25">
      <c r="A97" s="7">
        <f t="shared" si="5"/>
        <v>36</v>
      </c>
      <c r="B97" s="7"/>
      <c r="C97" s="178"/>
      <c r="D97" s="178"/>
    </row>
    <row r="98" spans="1:4" hidden="1" x14ac:dyDescent="0.25">
      <c r="A98" s="7">
        <f t="shared" si="5"/>
        <v>37</v>
      </c>
      <c r="B98" s="7"/>
      <c r="C98" s="178"/>
      <c r="D98" s="178"/>
    </row>
    <row r="99" spans="1:4" hidden="1" x14ac:dyDescent="0.25">
      <c r="A99" s="7">
        <f t="shared" si="5"/>
        <v>38</v>
      </c>
      <c r="B99" s="7"/>
      <c r="C99" s="178"/>
      <c r="D99" s="178"/>
    </row>
    <row r="100" spans="1:4" hidden="1" x14ac:dyDescent="0.25">
      <c r="A100" s="7">
        <f t="shared" si="5"/>
        <v>39</v>
      </c>
      <c r="B100" s="7"/>
      <c r="C100" s="178"/>
      <c r="D100" s="178"/>
    </row>
    <row r="101" spans="1:4" hidden="1" x14ac:dyDescent="0.25">
      <c r="A101" s="7">
        <f t="shared" si="5"/>
        <v>40</v>
      </c>
      <c r="B101" s="7"/>
      <c r="C101" s="178"/>
      <c r="D101" s="178"/>
    </row>
    <row r="102" spans="1:4" hidden="1" x14ac:dyDescent="0.25">
      <c r="A102" s="7">
        <f t="shared" si="5"/>
        <v>41</v>
      </c>
      <c r="B102" s="7"/>
      <c r="C102" s="178"/>
      <c r="D102" s="178"/>
    </row>
    <row r="103" spans="1:4" hidden="1" x14ac:dyDescent="0.25">
      <c r="A103" s="7">
        <f t="shared" si="5"/>
        <v>42</v>
      </c>
      <c r="B103" s="7"/>
      <c r="C103" s="178"/>
      <c r="D103" s="178"/>
    </row>
    <row r="104" spans="1:4" hidden="1" x14ac:dyDescent="0.25">
      <c r="A104" s="7">
        <f t="shared" si="5"/>
        <v>43</v>
      </c>
      <c r="B104" s="7"/>
      <c r="C104" s="178"/>
      <c r="D104" s="178"/>
    </row>
    <row r="105" spans="1:4" hidden="1" x14ac:dyDescent="0.25">
      <c r="A105" s="7">
        <f t="shared" si="5"/>
        <v>44</v>
      </c>
    </row>
    <row r="106" spans="1:4" hidden="1" x14ac:dyDescent="0.25">
      <c r="A106" s="7">
        <f t="shared" si="5"/>
        <v>45</v>
      </c>
    </row>
  </sheetData>
  <sheetProtection password="CC06" sheet="1" objects="1" scenarios="1"/>
  <customSheetViews>
    <customSheetView guid="{E594EE41-4917-4282-8F66-A5D93E449294}" showGridLines="0" hiddenRows="1" topLeftCell="A27">
      <selection sqref="A1:P49"/>
      <pageMargins left="0.7" right="0.7" top="0.75" bottom="0.75" header="0.3" footer="0.3"/>
    </customSheetView>
  </customSheetViews>
  <mergeCells count="11">
    <mergeCell ref="A34:B34"/>
    <mergeCell ref="A29:B29"/>
    <mergeCell ref="A30:B30"/>
    <mergeCell ref="A31:B31"/>
    <mergeCell ref="A32:B32"/>
    <mergeCell ref="A33:B33"/>
    <mergeCell ref="A46:B46"/>
    <mergeCell ref="A35:B35"/>
    <mergeCell ref="A36:B36"/>
    <mergeCell ref="A37:B37"/>
    <mergeCell ref="A44:B44"/>
  </mergeCells>
  <dataValidations count="2">
    <dataValidation type="list" allowBlank="1" showInputMessage="1" showErrorMessage="1" sqref="B3">
      <formula1>$A$52:$A$60</formula1>
    </dataValidation>
    <dataValidation type="list" allowBlank="1" showInputMessage="1" showErrorMessage="1" sqref="B4">
      <formula1>$A$62:$A$106</formula1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showGridLines="0" workbookViewId="0">
      <selection activeCell="C9" sqref="C9"/>
    </sheetView>
  </sheetViews>
  <sheetFormatPr baseColWidth="10" defaultRowHeight="15" x14ac:dyDescent="0.25"/>
  <cols>
    <col min="1" max="1" width="20.5703125" customWidth="1"/>
    <col min="2" max="2" width="13.85546875" customWidth="1"/>
    <col min="3" max="3" width="16.42578125" customWidth="1"/>
    <col min="4" max="4" width="12.85546875" customWidth="1"/>
    <col min="5" max="5" width="9.42578125" customWidth="1"/>
    <col min="6" max="6" width="12.5703125" bestFit="1" customWidth="1"/>
    <col min="7" max="7" width="10.85546875" bestFit="1" customWidth="1"/>
    <col min="8" max="8" width="19.85546875" customWidth="1"/>
    <col min="9" max="9" width="14.28515625" customWidth="1"/>
    <col min="10" max="10" width="10.140625" customWidth="1"/>
    <col min="11" max="11" width="8.5703125" customWidth="1"/>
    <col min="12" max="12" width="7.85546875" hidden="1" customWidth="1"/>
    <col min="13" max="13" width="9.7109375" hidden="1" customWidth="1"/>
    <col min="14" max="14" width="7.5703125" customWidth="1"/>
    <col min="15" max="15" width="12.140625" customWidth="1"/>
    <col min="16" max="16" width="6.5703125" customWidth="1"/>
    <col min="17" max="17" width="11.42578125" customWidth="1"/>
  </cols>
  <sheetData>
    <row r="1" spans="1:18" ht="18.75" x14ac:dyDescent="0.3">
      <c r="A1" s="312" t="s">
        <v>162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</row>
    <row r="2" spans="1:18" x14ac:dyDescent="0.25">
      <c r="A2" s="27" t="s">
        <v>43</v>
      </c>
    </row>
    <row r="3" spans="1:18" ht="17.25" customHeight="1" x14ac:dyDescent="0.25">
      <c r="H3" s="278" t="s">
        <v>159</v>
      </c>
      <c r="I3" s="279"/>
    </row>
    <row r="4" spans="1:18" ht="24" x14ac:dyDescent="0.25">
      <c r="A4" s="164" t="s">
        <v>27</v>
      </c>
      <c r="B4" s="165" t="s">
        <v>29</v>
      </c>
      <c r="C4" s="164" t="s">
        <v>30</v>
      </c>
      <c r="D4" s="165" t="s">
        <v>6</v>
      </c>
      <c r="E4" s="164" t="s">
        <v>39</v>
      </c>
      <c r="F4" s="164" t="s">
        <v>40</v>
      </c>
      <c r="G4" s="164" t="s">
        <v>41</v>
      </c>
      <c r="H4" s="164" t="s">
        <v>32</v>
      </c>
      <c r="I4" s="164" t="s">
        <v>33</v>
      </c>
      <c r="J4" s="164" t="s">
        <v>18</v>
      </c>
      <c r="K4" s="149" t="s">
        <v>108</v>
      </c>
      <c r="L4" s="167"/>
      <c r="M4" s="166"/>
      <c r="N4" s="149" t="s">
        <v>109</v>
      </c>
      <c r="O4" s="250"/>
    </row>
    <row r="5" spans="1:18" x14ac:dyDescent="0.25">
      <c r="A5" s="228" t="s">
        <v>8</v>
      </c>
      <c r="B5" s="229">
        <v>9841</v>
      </c>
      <c r="C5" s="230">
        <v>2000</v>
      </c>
      <c r="D5" s="231">
        <v>1184</v>
      </c>
      <c r="E5" s="229">
        <v>882</v>
      </c>
      <c r="F5" s="232">
        <v>140</v>
      </c>
      <c r="G5" s="97">
        <v>3123.8</v>
      </c>
      <c r="H5" s="233">
        <v>1355</v>
      </c>
      <c r="I5" s="233">
        <v>357</v>
      </c>
      <c r="J5" s="221">
        <f>SUM(B5:I5)</f>
        <v>18882.8</v>
      </c>
      <c r="K5" s="155">
        <f>+J5-'Salarios Jun 15'!I4</f>
        <v>3123.7999999999993</v>
      </c>
      <c r="N5" s="156">
        <f>+K5/'Salarios Jun 15'!I4</f>
        <v>0.1982232375150707</v>
      </c>
      <c r="O5" s="120"/>
    </row>
    <row r="6" spans="1:18" x14ac:dyDescent="0.25">
      <c r="A6" s="228" t="s">
        <v>9</v>
      </c>
      <c r="B6" s="229">
        <v>10929</v>
      </c>
      <c r="C6" s="230">
        <v>2000</v>
      </c>
      <c r="D6" s="231">
        <v>1493</v>
      </c>
      <c r="E6" s="229">
        <v>1017</v>
      </c>
      <c r="F6" s="232">
        <v>140</v>
      </c>
      <c r="G6" s="97">
        <v>3430.2000000000003</v>
      </c>
      <c r="H6" s="233">
        <v>1355</v>
      </c>
      <c r="I6" s="233">
        <v>357</v>
      </c>
      <c r="J6" s="221">
        <f t="shared" ref="J6:J13" si="0">SUM(B6:I6)</f>
        <v>20721.2</v>
      </c>
      <c r="K6" s="155">
        <f>+J6-'Salarios Jun 15'!I5</f>
        <v>3570.2000000000007</v>
      </c>
      <c r="N6" s="98">
        <f>+K6/'Salarios Jun 15'!I5</f>
        <v>0.20816278934172938</v>
      </c>
      <c r="O6" s="120"/>
    </row>
    <row r="7" spans="1:18" x14ac:dyDescent="0.25">
      <c r="A7" s="228" t="s">
        <v>10</v>
      </c>
      <c r="B7" s="229">
        <v>11814</v>
      </c>
      <c r="C7" s="230">
        <v>2000</v>
      </c>
      <c r="D7" s="231">
        <v>1741</v>
      </c>
      <c r="E7" s="229">
        <v>1127</v>
      </c>
      <c r="F7" s="232">
        <v>140</v>
      </c>
      <c r="G7" s="97">
        <v>3678.8</v>
      </c>
      <c r="H7" s="233">
        <v>1355</v>
      </c>
      <c r="I7" s="233">
        <v>357</v>
      </c>
      <c r="J7" s="221">
        <f t="shared" si="0"/>
        <v>22212.799999999999</v>
      </c>
      <c r="K7" s="155">
        <f>+J7-'Salarios Jun 15'!I6</f>
        <v>3818.7999999999993</v>
      </c>
      <c r="N7" s="98">
        <f>+K7/'Salarios Jun 15'!I6</f>
        <v>0.20761117755789926</v>
      </c>
      <c r="O7" s="120"/>
    </row>
    <row r="8" spans="1:18" x14ac:dyDescent="0.25">
      <c r="A8" s="228" t="s">
        <v>11</v>
      </c>
      <c r="B8" s="229">
        <v>12860</v>
      </c>
      <c r="C8" s="230">
        <v>2000</v>
      </c>
      <c r="D8" s="231">
        <v>2284</v>
      </c>
      <c r="E8" s="229">
        <v>1281</v>
      </c>
      <c r="F8" s="232">
        <v>140</v>
      </c>
      <c r="G8" s="97">
        <v>4027.4</v>
      </c>
      <c r="H8" s="233">
        <v>1355</v>
      </c>
      <c r="I8" s="233">
        <v>357</v>
      </c>
      <c r="J8" s="221">
        <f t="shared" si="0"/>
        <v>24304.400000000001</v>
      </c>
      <c r="K8" s="155">
        <f>+J8-'Salarios Jun 15'!I7</f>
        <v>4167.4000000000015</v>
      </c>
      <c r="N8" s="98">
        <f>+K8/'Salarios Jun 15'!I7</f>
        <v>0.20695237622287338</v>
      </c>
      <c r="O8" s="120"/>
    </row>
    <row r="9" spans="1:18" x14ac:dyDescent="0.25">
      <c r="A9" s="228" t="s">
        <v>12</v>
      </c>
      <c r="B9" s="229">
        <v>14091</v>
      </c>
      <c r="C9" s="230">
        <v>2000</v>
      </c>
      <c r="D9" s="231">
        <v>2552</v>
      </c>
      <c r="E9" s="229">
        <v>1427</v>
      </c>
      <c r="F9" s="232">
        <v>140</v>
      </c>
      <c r="G9" s="97">
        <v>4356.4000000000005</v>
      </c>
      <c r="H9" s="233">
        <v>1355</v>
      </c>
      <c r="I9" s="233">
        <v>357</v>
      </c>
      <c r="J9" s="221">
        <f t="shared" si="0"/>
        <v>26278.400000000001</v>
      </c>
      <c r="K9" s="155">
        <f>+J9-'Salarios Jun 15'!I8</f>
        <v>4496.4000000000015</v>
      </c>
      <c r="N9" s="98">
        <f>+K9/'Salarios Jun 15'!I8</f>
        <v>0.20642732531447991</v>
      </c>
      <c r="O9" s="120"/>
    </row>
    <row r="10" spans="1:18" x14ac:dyDescent="0.25">
      <c r="A10" s="228" t="s">
        <v>13</v>
      </c>
      <c r="B10" s="229">
        <v>15704</v>
      </c>
      <c r="C10" s="230">
        <v>2000</v>
      </c>
      <c r="D10" s="231">
        <v>3140</v>
      </c>
      <c r="E10" s="229">
        <v>1640</v>
      </c>
      <c r="F10" s="232">
        <v>220</v>
      </c>
      <c r="G10" s="97">
        <v>4839.2</v>
      </c>
      <c r="H10" s="233">
        <v>1355</v>
      </c>
      <c r="I10" s="233">
        <v>357</v>
      </c>
      <c r="J10" s="221">
        <f t="shared" si="0"/>
        <v>29255.200000000001</v>
      </c>
      <c r="K10" s="155">
        <f>+J10-'Salarios Jun 15'!I9</f>
        <v>4839.2000000000007</v>
      </c>
      <c r="N10" s="98">
        <f>+K10/'Salarios Jun 15'!I9</f>
        <v>0.19819790301441681</v>
      </c>
      <c r="O10" s="120"/>
    </row>
    <row r="11" spans="1:18" x14ac:dyDescent="0.25">
      <c r="A11" s="228" t="s">
        <v>14</v>
      </c>
      <c r="B11" s="229">
        <v>17446</v>
      </c>
      <c r="C11" s="230">
        <v>2000</v>
      </c>
      <c r="D11" s="231">
        <v>3798</v>
      </c>
      <c r="E11" s="229">
        <v>1873</v>
      </c>
      <c r="F11" s="234">
        <v>220</v>
      </c>
      <c r="G11" s="97">
        <v>5365.8</v>
      </c>
      <c r="H11" s="233">
        <v>1355</v>
      </c>
      <c r="I11" s="233">
        <v>357</v>
      </c>
      <c r="J11" s="221">
        <f t="shared" si="0"/>
        <v>32414.799999999999</v>
      </c>
      <c r="K11" s="155">
        <f>+J11-'Salarios Jun 15'!I10</f>
        <v>5585.7999999999993</v>
      </c>
      <c r="N11" s="98">
        <f>+K11/'Salarios Jun 15'!I10</f>
        <v>0.20820008200081999</v>
      </c>
      <c r="O11" s="120"/>
    </row>
    <row r="12" spans="1:18" x14ac:dyDescent="0.25">
      <c r="A12" s="235" t="s">
        <v>28</v>
      </c>
      <c r="B12" s="229">
        <v>17803</v>
      </c>
      <c r="C12" s="230">
        <v>2000</v>
      </c>
      <c r="D12" s="236">
        <v>3688</v>
      </c>
      <c r="E12" s="229">
        <v>1867</v>
      </c>
      <c r="F12" s="232">
        <v>220</v>
      </c>
      <c r="G12" s="97">
        <v>5520.058</v>
      </c>
      <c r="H12" s="233">
        <v>1355</v>
      </c>
      <c r="I12" s="237">
        <v>357</v>
      </c>
      <c r="J12" s="221">
        <f t="shared" si="0"/>
        <v>32810.058000000005</v>
      </c>
      <c r="K12" s="155">
        <f>+J12-'Salarios Jun 15'!I11</f>
        <v>5711.0580000000045</v>
      </c>
      <c r="N12" s="98">
        <f>+K12/'Salarios Jun 15'!I11</f>
        <v>0.2107479242776488</v>
      </c>
      <c r="O12" s="120"/>
    </row>
    <row r="13" spans="1:18" x14ac:dyDescent="0.25">
      <c r="A13" s="228" t="s">
        <v>16</v>
      </c>
      <c r="B13" s="229">
        <v>18719</v>
      </c>
      <c r="C13" s="230">
        <v>2000</v>
      </c>
      <c r="D13" s="231">
        <v>3922</v>
      </c>
      <c r="E13" s="229">
        <v>2009</v>
      </c>
      <c r="F13" s="232">
        <v>220</v>
      </c>
      <c r="G13" s="97">
        <v>5672.4000000000005</v>
      </c>
      <c r="H13" s="233">
        <v>1355</v>
      </c>
      <c r="I13" s="233">
        <v>357</v>
      </c>
      <c r="J13" s="221">
        <f t="shared" si="0"/>
        <v>34254.400000000001</v>
      </c>
      <c r="K13" s="155">
        <f>+J13-'Salarios Jun 15'!I12</f>
        <v>5892.4000000000015</v>
      </c>
      <c r="N13" s="98">
        <f>+K13/'Salarios Jun 15'!I12</f>
        <v>0.20775685776743535</v>
      </c>
      <c r="O13" s="120"/>
    </row>
    <row r="14" spans="1:18" ht="15" customHeight="1" x14ac:dyDescent="0.25">
      <c r="A14" s="198"/>
      <c r="B14" s="117"/>
      <c r="C14" s="118"/>
      <c r="D14" s="308" t="s">
        <v>169</v>
      </c>
      <c r="E14" s="308"/>
      <c r="F14" s="308"/>
      <c r="G14" s="119"/>
      <c r="H14" s="119"/>
      <c r="I14" s="121"/>
      <c r="J14" s="121"/>
      <c r="N14" s="119"/>
      <c r="O14" s="313" t="s">
        <v>171</v>
      </c>
    </row>
    <row r="15" spans="1:18" ht="15" customHeight="1" thickBot="1" x14ac:dyDescent="0.3">
      <c r="D15" s="309" t="s">
        <v>105</v>
      </c>
      <c r="E15" s="310"/>
      <c r="F15" s="311"/>
      <c r="O15" s="314"/>
    </row>
    <row r="16" spans="1:18" ht="21" customHeight="1" thickBot="1" x14ac:dyDescent="0.3">
      <c r="A16" s="26" t="s">
        <v>44</v>
      </c>
      <c r="D16" s="247">
        <v>1</v>
      </c>
      <c r="E16" s="247">
        <v>2</v>
      </c>
      <c r="F16" s="248">
        <v>3</v>
      </c>
      <c r="H16" s="278" t="s">
        <v>159</v>
      </c>
      <c r="I16" s="279"/>
      <c r="L16" s="150"/>
      <c r="O16" s="315"/>
      <c r="P16" s="306" t="s">
        <v>47</v>
      </c>
      <c r="Q16" s="307"/>
    </row>
    <row r="17" spans="1:18" ht="40.5" customHeight="1" x14ac:dyDescent="0.3">
      <c r="A17" s="157" t="s">
        <v>27</v>
      </c>
      <c r="B17" s="157" t="s">
        <v>29</v>
      </c>
      <c r="C17" s="157" t="s">
        <v>30</v>
      </c>
      <c r="D17" s="186" t="s">
        <v>106</v>
      </c>
      <c r="E17" s="186" t="s">
        <v>45</v>
      </c>
      <c r="F17" s="246" t="s">
        <v>46</v>
      </c>
      <c r="G17" s="157" t="s">
        <v>31</v>
      </c>
      <c r="H17" s="186" t="s">
        <v>32</v>
      </c>
      <c r="I17" s="186" t="s">
        <v>33</v>
      </c>
      <c r="J17" s="157" t="s">
        <v>18</v>
      </c>
      <c r="K17" s="149" t="s">
        <v>108</v>
      </c>
      <c r="L17" s="159" t="s">
        <v>48</v>
      </c>
      <c r="M17" s="149" t="s">
        <v>108</v>
      </c>
      <c r="N17" s="149" t="s">
        <v>109</v>
      </c>
      <c r="O17" s="249" t="s">
        <v>141</v>
      </c>
      <c r="P17" s="192" t="s">
        <v>1</v>
      </c>
      <c r="Q17" s="193" t="s">
        <v>164</v>
      </c>
    </row>
    <row r="18" spans="1:18" ht="15.75" x14ac:dyDescent="0.25">
      <c r="A18" s="199" t="s">
        <v>8</v>
      </c>
      <c r="B18" s="200">
        <v>12340</v>
      </c>
      <c r="C18" s="201">
        <v>2000</v>
      </c>
      <c r="D18" s="202">
        <v>1184</v>
      </c>
      <c r="E18" s="203">
        <v>882</v>
      </c>
      <c r="F18" s="204">
        <v>140</v>
      </c>
      <c r="G18" s="205">
        <v>1843</v>
      </c>
      <c r="H18" s="206">
        <v>1355</v>
      </c>
      <c r="I18" s="207">
        <v>357</v>
      </c>
      <c r="J18" s="221">
        <f t="shared" ref="J18:J26" si="1">SUM(B18:I18)</f>
        <v>20101</v>
      </c>
      <c r="K18" s="223">
        <f>+J18-'Salarios Jun 15'!I4</f>
        <v>4342</v>
      </c>
      <c r="L18" s="97">
        <f>+D18+E18+F18</f>
        <v>2206</v>
      </c>
      <c r="M18" s="97">
        <f>+J18-'[1]Salarios Jun 15'!I5</f>
        <v>2950</v>
      </c>
      <c r="N18" s="98">
        <f>+K18/'Salarios Jun 15'!I4</f>
        <v>0.27552509677009962</v>
      </c>
      <c r="O18" s="222">
        <f t="shared" ref="O18:O26" si="2">+D18+E18+F18</f>
        <v>2206</v>
      </c>
      <c r="P18" s="32" t="s">
        <v>165</v>
      </c>
      <c r="Q18" s="81">
        <v>2066</v>
      </c>
      <c r="R18" s="94"/>
    </row>
    <row r="19" spans="1:18" ht="15.75" x14ac:dyDescent="0.25">
      <c r="A19" s="199" t="s">
        <v>9</v>
      </c>
      <c r="B19" s="200">
        <v>13673</v>
      </c>
      <c r="C19" s="201">
        <v>2000</v>
      </c>
      <c r="D19" s="202">
        <v>1493</v>
      </c>
      <c r="E19" s="203">
        <v>1017</v>
      </c>
      <c r="F19" s="208">
        <v>140</v>
      </c>
      <c r="G19" s="205">
        <v>2024</v>
      </c>
      <c r="H19" s="206">
        <v>1355</v>
      </c>
      <c r="I19" s="207">
        <v>357</v>
      </c>
      <c r="J19" s="221">
        <f t="shared" si="1"/>
        <v>22059</v>
      </c>
      <c r="K19" s="223">
        <f>+J19-'Salarios Jun 15'!I5</f>
        <v>4908</v>
      </c>
      <c r="L19" s="97">
        <f t="shared" ref="L19:L25" si="3">+D19+E19+F19</f>
        <v>2650</v>
      </c>
      <c r="M19" s="97">
        <f>+J19-'[1]Salarios Jun 15'!I6</f>
        <v>3665</v>
      </c>
      <c r="N19" s="98">
        <f>+K19/'Salarios Jun 15'!I5</f>
        <v>0.28616407206576877</v>
      </c>
      <c r="O19" s="97">
        <f t="shared" si="2"/>
        <v>2650</v>
      </c>
      <c r="P19" s="32" t="s">
        <v>9</v>
      </c>
      <c r="Q19" s="35">
        <v>2650</v>
      </c>
    </row>
    <row r="20" spans="1:18" ht="15.75" x14ac:dyDescent="0.25">
      <c r="A20" s="199" t="s">
        <v>10</v>
      </c>
      <c r="B20" s="200">
        <v>14757</v>
      </c>
      <c r="C20" s="201">
        <v>2000</v>
      </c>
      <c r="D20" s="202">
        <v>1741</v>
      </c>
      <c r="E20" s="203">
        <v>1127</v>
      </c>
      <c r="F20" s="204">
        <v>140</v>
      </c>
      <c r="G20" s="205">
        <v>2171</v>
      </c>
      <c r="H20" s="206">
        <v>1355</v>
      </c>
      <c r="I20" s="207">
        <v>357</v>
      </c>
      <c r="J20" s="221">
        <f t="shared" si="1"/>
        <v>23648</v>
      </c>
      <c r="K20" s="223">
        <f>+J20-'Salarios Jun 15'!I6</f>
        <v>5254</v>
      </c>
      <c r="L20" s="97">
        <f t="shared" si="3"/>
        <v>3008</v>
      </c>
      <c r="M20" s="97">
        <f>+J20-'[1]Salarios Jun 15'!I7</f>
        <v>3511</v>
      </c>
      <c r="N20" s="98">
        <f>+K20/'Salarios Jun 15'!I6</f>
        <v>0.28563662063716427</v>
      </c>
      <c r="O20" s="222">
        <f t="shared" si="2"/>
        <v>3008</v>
      </c>
      <c r="P20" s="33" t="s">
        <v>167</v>
      </c>
      <c r="Q20" s="82">
        <v>2868</v>
      </c>
      <c r="R20" s="94"/>
    </row>
    <row r="21" spans="1:18" ht="15.75" x14ac:dyDescent="0.25">
      <c r="A21" s="199" t="s">
        <v>11</v>
      </c>
      <c r="B21" s="200">
        <v>16082</v>
      </c>
      <c r="C21" s="201">
        <v>2000</v>
      </c>
      <c r="D21" s="202">
        <v>2284</v>
      </c>
      <c r="E21" s="203">
        <v>1281</v>
      </c>
      <c r="F21" s="208">
        <v>140</v>
      </c>
      <c r="G21" s="205">
        <v>2376</v>
      </c>
      <c r="H21" s="206">
        <v>1355</v>
      </c>
      <c r="I21" s="207">
        <v>357</v>
      </c>
      <c r="J21" s="221">
        <f t="shared" si="1"/>
        <v>25875</v>
      </c>
      <c r="K21" s="223">
        <f>+J21-'Salarios Jun 15'!I7</f>
        <v>5738</v>
      </c>
      <c r="L21" s="97">
        <f t="shared" si="3"/>
        <v>3705</v>
      </c>
      <c r="M21" s="97">
        <f>+J21-'[1]Salarios Jun 15'!I8</f>
        <v>4093</v>
      </c>
      <c r="N21" s="98">
        <f>+K21/'Salarios Jun 15'!I7</f>
        <v>0.28494810547747929</v>
      </c>
      <c r="O21" s="97">
        <f t="shared" si="2"/>
        <v>3705</v>
      </c>
      <c r="P21" s="33" t="s">
        <v>11</v>
      </c>
      <c r="Q21" s="35">
        <v>3705</v>
      </c>
    </row>
    <row r="22" spans="1:18" ht="15.75" x14ac:dyDescent="0.25">
      <c r="A22" s="199" t="s">
        <v>12</v>
      </c>
      <c r="B22" s="200">
        <v>17576</v>
      </c>
      <c r="C22" s="201">
        <v>2000</v>
      </c>
      <c r="D22" s="202">
        <v>2552</v>
      </c>
      <c r="E22" s="203">
        <v>1427</v>
      </c>
      <c r="F22" s="208">
        <v>140</v>
      </c>
      <c r="G22" s="205">
        <v>2570</v>
      </c>
      <c r="H22" s="206">
        <v>1355</v>
      </c>
      <c r="I22" s="207">
        <v>357</v>
      </c>
      <c r="J22" s="221">
        <f t="shared" si="1"/>
        <v>27977</v>
      </c>
      <c r="K22" s="223">
        <f>+J22-'Salarios Jun 15'!I8</f>
        <v>6195</v>
      </c>
      <c r="L22" s="97">
        <f t="shared" si="3"/>
        <v>4119</v>
      </c>
      <c r="M22" s="97">
        <f>+J22-'[1]Salarios Jun 15'!I9</f>
        <v>3561</v>
      </c>
      <c r="N22" s="98">
        <f>+K22/'Salarios Jun 15'!I8</f>
        <v>0.28440914516573318</v>
      </c>
      <c r="O22" s="97">
        <f t="shared" si="2"/>
        <v>4119</v>
      </c>
      <c r="P22" s="33" t="s">
        <v>12</v>
      </c>
      <c r="Q22" s="35">
        <v>4119</v>
      </c>
    </row>
    <row r="23" spans="1:18" ht="15.75" x14ac:dyDescent="0.25">
      <c r="A23" s="199" t="s">
        <v>13</v>
      </c>
      <c r="B23" s="200">
        <v>19575</v>
      </c>
      <c r="C23" s="201">
        <v>2000</v>
      </c>
      <c r="D23" s="202">
        <v>3140</v>
      </c>
      <c r="E23" s="203">
        <v>1640</v>
      </c>
      <c r="F23" s="208">
        <v>220</v>
      </c>
      <c r="G23" s="205">
        <v>2855</v>
      </c>
      <c r="H23" s="206">
        <v>1355</v>
      </c>
      <c r="I23" s="207">
        <v>357</v>
      </c>
      <c r="J23" s="221">
        <f t="shared" si="1"/>
        <v>31142</v>
      </c>
      <c r="K23" s="223">
        <f>+J23-'Salarios Jun 15'!I9</f>
        <v>6726</v>
      </c>
      <c r="L23" s="97">
        <f t="shared" si="3"/>
        <v>5000</v>
      </c>
      <c r="M23" s="97">
        <f>+J23-'[1]Salarios Jun 15'!I10</f>
        <v>4313</v>
      </c>
      <c r="N23" s="98">
        <f>+K23/'Salarios Jun 15'!I9</f>
        <v>0.27547509829619921</v>
      </c>
      <c r="O23" s="97">
        <f t="shared" si="2"/>
        <v>5000</v>
      </c>
      <c r="P23" s="33" t="s">
        <v>13</v>
      </c>
      <c r="Q23" s="35">
        <v>5000</v>
      </c>
    </row>
    <row r="24" spans="1:18" ht="15.75" x14ac:dyDescent="0.25">
      <c r="A24" s="199" t="s">
        <v>14</v>
      </c>
      <c r="B24" s="200">
        <v>21739</v>
      </c>
      <c r="C24" s="201">
        <v>2000</v>
      </c>
      <c r="D24" s="202">
        <v>3798</v>
      </c>
      <c r="E24" s="203">
        <v>1873</v>
      </c>
      <c r="F24" s="208">
        <v>220</v>
      </c>
      <c r="G24" s="205">
        <v>3166</v>
      </c>
      <c r="H24" s="206">
        <v>1355</v>
      </c>
      <c r="I24" s="207">
        <v>357</v>
      </c>
      <c r="J24" s="221">
        <f t="shared" si="1"/>
        <v>34508</v>
      </c>
      <c r="K24" s="223">
        <f>+J24-'Salarios Jun 15'!I10</f>
        <v>7679</v>
      </c>
      <c r="L24" s="97">
        <f t="shared" si="3"/>
        <v>5891</v>
      </c>
      <c r="M24" s="97">
        <f>+J24-'[1]Salarios Jun 15'!I11</f>
        <v>7409</v>
      </c>
      <c r="N24" s="98">
        <f>+K24/'Salarios Jun 15'!I10</f>
        <v>0.28622013492862203</v>
      </c>
      <c r="O24" s="97">
        <f t="shared" si="2"/>
        <v>5891</v>
      </c>
      <c r="P24" s="33" t="s">
        <v>14</v>
      </c>
      <c r="Q24" s="35">
        <v>5891</v>
      </c>
    </row>
    <row r="25" spans="1:18" ht="15.75" x14ac:dyDescent="0.25">
      <c r="A25" s="199" t="s">
        <v>28</v>
      </c>
      <c r="B25" s="200">
        <v>22138</v>
      </c>
      <c r="C25" s="201">
        <v>2000</v>
      </c>
      <c r="D25" s="202">
        <v>3688</v>
      </c>
      <c r="E25" s="203">
        <v>1897</v>
      </c>
      <c r="F25" s="208">
        <v>220</v>
      </c>
      <c r="G25" s="205">
        <v>3198</v>
      </c>
      <c r="H25" s="206">
        <v>1355</v>
      </c>
      <c r="I25" s="207">
        <v>357</v>
      </c>
      <c r="J25" s="221">
        <f t="shared" si="1"/>
        <v>34853</v>
      </c>
      <c r="K25" s="223">
        <f>+J25-'Salarios Jun 15'!I11</f>
        <v>7754</v>
      </c>
      <c r="L25" s="97">
        <f t="shared" si="3"/>
        <v>5805</v>
      </c>
      <c r="M25" s="97">
        <f>+J25-'[1]Salarios Jun 15'!I12</f>
        <v>6491</v>
      </c>
      <c r="N25" s="98">
        <f>+K25/'Salarios Jun 15'!I11</f>
        <v>0.28613601977932768</v>
      </c>
      <c r="O25" s="97">
        <f t="shared" si="2"/>
        <v>5805</v>
      </c>
      <c r="P25" s="33" t="s">
        <v>28</v>
      </c>
      <c r="Q25" s="35">
        <v>5805</v>
      </c>
    </row>
    <row r="26" spans="1:18" ht="16.5" thickBot="1" x14ac:dyDescent="0.3">
      <c r="A26" s="209" t="s">
        <v>16</v>
      </c>
      <c r="B26" s="210">
        <v>23257</v>
      </c>
      <c r="C26" s="211">
        <v>2000</v>
      </c>
      <c r="D26" s="212">
        <v>3922</v>
      </c>
      <c r="E26" s="213">
        <v>2009</v>
      </c>
      <c r="F26" s="214">
        <v>220</v>
      </c>
      <c r="G26" s="215">
        <v>3346</v>
      </c>
      <c r="H26" s="216">
        <v>1355</v>
      </c>
      <c r="I26" s="217">
        <v>357</v>
      </c>
      <c r="J26" s="224">
        <f t="shared" si="1"/>
        <v>36466</v>
      </c>
      <c r="K26" s="226">
        <f>+J26-'Salarios Jun 15'!I12</f>
        <v>8104</v>
      </c>
      <c r="L26" s="225">
        <f>+D26+E26+F26</f>
        <v>6151</v>
      </c>
      <c r="M26" s="225">
        <f>+J26-'[1]Salarios Jun 15'!I13</f>
        <v>36466</v>
      </c>
      <c r="N26" s="227">
        <f>+K26/'Salarios Jun 15'!I12</f>
        <v>0.28573443339679855</v>
      </c>
      <c r="O26" s="225">
        <f t="shared" si="2"/>
        <v>6151</v>
      </c>
      <c r="P26" s="34" t="s">
        <v>16</v>
      </c>
      <c r="Q26" s="36">
        <v>6151</v>
      </c>
    </row>
    <row r="27" spans="1:18" ht="12.75" customHeight="1" thickTop="1" x14ac:dyDescent="0.25">
      <c r="K27" s="218"/>
      <c r="L27" s="218"/>
      <c r="M27" s="219"/>
      <c r="N27" s="220"/>
      <c r="O27" s="220"/>
      <c r="P27" s="195" t="s">
        <v>166</v>
      </c>
      <c r="Q27" s="94"/>
    </row>
    <row r="28" spans="1:18" ht="15.75" thickBot="1" x14ac:dyDescent="0.3">
      <c r="A28" s="27" t="s">
        <v>178</v>
      </c>
      <c r="E28" s="282" t="s">
        <v>95</v>
      </c>
      <c r="F28" s="282"/>
      <c r="G28" s="282"/>
    </row>
    <row r="29" spans="1:18" ht="31.5" x14ac:dyDescent="0.25">
      <c r="A29" s="125" t="s">
        <v>27</v>
      </c>
      <c r="B29" s="127" t="s">
        <v>88</v>
      </c>
      <c r="C29" s="128" t="s">
        <v>89</v>
      </c>
      <c r="D29" s="126" t="s">
        <v>90</v>
      </c>
      <c r="E29" s="123" t="s">
        <v>91</v>
      </c>
      <c r="F29" s="74" t="s">
        <v>92</v>
      </c>
      <c r="G29" s="74" t="s">
        <v>93</v>
      </c>
    </row>
    <row r="30" spans="1:18" ht="15.75" x14ac:dyDescent="0.25">
      <c r="A30" s="129" t="s">
        <v>8</v>
      </c>
      <c r="B30" s="130">
        <v>5767.56</v>
      </c>
      <c r="C30" s="130">
        <v>480.44</v>
      </c>
      <c r="D30" s="134">
        <v>6248</v>
      </c>
      <c r="E30" s="124">
        <f t="shared" ref="E30:E38" si="4">+B30/2</f>
        <v>2883.78</v>
      </c>
      <c r="F30" s="63">
        <f t="shared" ref="F30:F38" si="5">+C30/2</f>
        <v>240.22</v>
      </c>
      <c r="G30" s="76">
        <f>+F30+E30</f>
        <v>3124</v>
      </c>
    </row>
    <row r="31" spans="1:18" ht="15.75" x14ac:dyDescent="0.25">
      <c r="A31" s="129" t="s">
        <v>9</v>
      </c>
      <c r="B31" s="130">
        <v>6332.5</v>
      </c>
      <c r="C31" s="130">
        <v>527.5</v>
      </c>
      <c r="D31" s="134">
        <v>6860</v>
      </c>
      <c r="E31" s="124">
        <f t="shared" si="4"/>
        <v>3166.25</v>
      </c>
      <c r="F31" s="63">
        <f t="shared" si="5"/>
        <v>263.75</v>
      </c>
      <c r="G31" s="76">
        <f t="shared" ref="G31:G38" si="6">+F31+E31</f>
        <v>3430</v>
      </c>
    </row>
    <row r="32" spans="1:18" ht="15.75" x14ac:dyDescent="0.25">
      <c r="A32" s="131" t="s">
        <v>10</v>
      </c>
      <c r="B32" s="130">
        <v>6792.21</v>
      </c>
      <c r="C32" s="130">
        <v>565.79</v>
      </c>
      <c r="D32" s="134">
        <v>7358</v>
      </c>
      <c r="E32" s="124">
        <f t="shared" si="4"/>
        <v>3396.105</v>
      </c>
      <c r="F32" s="63">
        <f t="shared" si="5"/>
        <v>282.89499999999998</v>
      </c>
      <c r="G32" s="76">
        <f t="shared" si="6"/>
        <v>3679</v>
      </c>
    </row>
    <row r="33" spans="1:8" ht="15.75" x14ac:dyDescent="0.25">
      <c r="A33" s="131" t="s">
        <v>11</v>
      </c>
      <c r="B33" s="130">
        <v>7434.69</v>
      </c>
      <c r="C33" s="130">
        <v>619.30999999999995</v>
      </c>
      <c r="D33" s="134">
        <v>8054</v>
      </c>
      <c r="E33" s="124">
        <f t="shared" si="4"/>
        <v>3717.3449999999998</v>
      </c>
      <c r="F33" s="63">
        <f t="shared" si="5"/>
        <v>309.65499999999997</v>
      </c>
      <c r="G33" s="76">
        <f t="shared" si="6"/>
        <v>4027</v>
      </c>
    </row>
    <row r="34" spans="1:8" ht="15.75" x14ac:dyDescent="0.25">
      <c r="A34" s="131" t="s">
        <v>12</v>
      </c>
      <c r="B34" s="130">
        <v>8042.09</v>
      </c>
      <c r="C34" s="130">
        <v>669.91</v>
      </c>
      <c r="D34" s="134">
        <v>8712</v>
      </c>
      <c r="E34" s="124">
        <f t="shared" si="4"/>
        <v>4021.0450000000001</v>
      </c>
      <c r="F34" s="63">
        <f t="shared" si="5"/>
        <v>334.95499999999998</v>
      </c>
      <c r="G34" s="76">
        <f t="shared" si="6"/>
        <v>4356</v>
      </c>
    </row>
    <row r="35" spans="1:8" ht="15.75" x14ac:dyDescent="0.25">
      <c r="A35" s="131" t="s">
        <v>13</v>
      </c>
      <c r="B35" s="130">
        <v>8933.81</v>
      </c>
      <c r="C35" s="130">
        <v>744.19</v>
      </c>
      <c r="D35" s="134">
        <v>9678</v>
      </c>
      <c r="E35" s="124">
        <f t="shared" si="4"/>
        <v>4466.9049999999997</v>
      </c>
      <c r="F35" s="63">
        <f t="shared" si="5"/>
        <v>372.09500000000003</v>
      </c>
      <c r="G35" s="76">
        <f t="shared" si="6"/>
        <v>4839</v>
      </c>
    </row>
    <row r="36" spans="1:8" ht="15.75" x14ac:dyDescent="0.25">
      <c r="A36" s="131" t="s">
        <v>14</v>
      </c>
      <c r="B36" s="130">
        <v>9906.77</v>
      </c>
      <c r="C36" s="130">
        <v>825.23</v>
      </c>
      <c r="D36" s="134">
        <v>10732</v>
      </c>
      <c r="E36" s="124">
        <f t="shared" si="4"/>
        <v>4953.3850000000002</v>
      </c>
      <c r="F36" s="63">
        <f t="shared" si="5"/>
        <v>412.61500000000001</v>
      </c>
      <c r="G36" s="76">
        <f t="shared" si="6"/>
        <v>5366</v>
      </c>
    </row>
    <row r="37" spans="1:8" ht="15.75" x14ac:dyDescent="0.25">
      <c r="A37" s="131" t="s">
        <v>28</v>
      </c>
      <c r="B37" s="130">
        <v>10006.459999999999</v>
      </c>
      <c r="C37" s="130">
        <v>833.54</v>
      </c>
      <c r="D37" s="134">
        <v>10840</v>
      </c>
      <c r="E37" s="124">
        <f t="shared" si="4"/>
        <v>5003.2299999999996</v>
      </c>
      <c r="F37" s="63">
        <f t="shared" si="5"/>
        <v>416.77</v>
      </c>
      <c r="G37" s="76">
        <f t="shared" si="6"/>
        <v>5420</v>
      </c>
    </row>
    <row r="38" spans="1:8" ht="16.5" thickBot="1" x14ac:dyDescent="0.3">
      <c r="A38" s="132" t="s">
        <v>16</v>
      </c>
      <c r="B38" s="133">
        <v>10471.709999999999</v>
      </c>
      <c r="C38" s="133">
        <v>872.29</v>
      </c>
      <c r="D38" s="135">
        <v>11344</v>
      </c>
      <c r="E38" s="124">
        <f t="shared" si="4"/>
        <v>5235.8549999999996</v>
      </c>
      <c r="F38" s="63">
        <f t="shared" si="5"/>
        <v>436.14499999999998</v>
      </c>
      <c r="G38" s="76">
        <f t="shared" si="6"/>
        <v>5672</v>
      </c>
    </row>
    <row r="39" spans="1:8" ht="11.25" customHeight="1" x14ac:dyDescent="0.25">
      <c r="E39" s="196"/>
      <c r="F39" s="196"/>
      <c r="G39" s="197"/>
    </row>
    <row r="40" spans="1:8" ht="15.75" x14ac:dyDescent="0.25">
      <c r="A40" s="285" t="s">
        <v>101</v>
      </c>
      <c r="B40" s="285"/>
      <c r="E40" s="196"/>
      <c r="F40" s="196"/>
      <c r="G40" s="197"/>
    </row>
    <row r="41" spans="1:8" ht="15.75" x14ac:dyDescent="0.25">
      <c r="A41" s="189" t="s">
        <v>97</v>
      </c>
      <c r="B41" s="191">
        <v>5400</v>
      </c>
      <c r="C41" s="190" t="s">
        <v>98</v>
      </c>
      <c r="D41" s="190"/>
      <c r="E41" s="196"/>
      <c r="F41" s="196"/>
      <c r="G41" s="197"/>
    </row>
    <row r="42" spans="1:8" ht="15.75" x14ac:dyDescent="0.25">
      <c r="A42" s="75" t="s">
        <v>99</v>
      </c>
      <c r="B42" s="100">
        <v>-2700</v>
      </c>
      <c r="C42" t="s">
        <v>123</v>
      </c>
      <c r="E42" s="115"/>
      <c r="F42" s="115"/>
    </row>
    <row r="43" spans="1:8" ht="15.75" x14ac:dyDescent="0.25">
      <c r="A43" s="75" t="s">
        <v>100</v>
      </c>
      <c r="B43" s="100">
        <v>-2700</v>
      </c>
      <c r="C43" t="s">
        <v>124</v>
      </c>
      <c r="E43" s="115"/>
      <c r="F43" s="115"/>
    </row>
    <row r="45" spans="1:8" ht="15.75" thickBot="1" x14ac:dyDescent="0.3">
      <c r="A45" s="27" t="s">
        <v>168</v>
      </c>
    </row>
    <row r="46" spans="1:8" ht="15.75" hidden="1" thickBot="1" x14ac:dyDescent="0.3"/>
    <row r="47" spans="1:8" ht="16.5" x14ac:dyDescent="0.3">
      <c r="A47" s="300" t="s">
        <v>34</v>
      </c>
      <c r="B47" s="301"/>
      <c r="C47" s="280" t="s">
        <v>35</v>
      </c>
      <c r="D47" s="88" t="s">
        <v>36</v>
      </c>
      <c r="E47" s="298" t="s">
        <v>59</v>
      </c>
      <c r="F47" s="299"/>
      <c r="G47" s="278" t="s">
        <v>60</v>
      </c>
      <c r="H47" s="279"/>
    </row>
    <row r="48" spans="1:8" ht="17.25" thickBot="1" x14ac:dyDescent="0.35">
      <c r="A48" s="302"/>
      <c r="B48" s="303"/>
      <c r="C48" s="281"/>
      <c r="D48" s="89">
        <v>42370</v>
      </c>
      <c r="E48" s="86" t="s">
        <v>57</v>
      </c>
      <c r="F48" s="49" t="s">
        <v>58</v>
      </c>
      <c r="G48" s="49" t="s">
        <v>57</v>
      </c>
      <c r="H48" s="49" t="s">
        <v>58</v>
      </c>
    </row>
    <row r="49" spans="1:11" ht="16.5" x14ac:dyDescent="0.3">
      <c r="A49" s="304" t="s">
        <v>19</v>
      </c>
      <c r="B49" s="305"/>
      <c r="C49" s="14">
        <v>56.52</v>
      </c>
      <c r="D49" s="90">
        <v>68.19</v>
      </c>
      <c r="E49" s="87">
        <v>9.4200000000000017</v>
      </c>
      <c r="F49" s="187">
        <v>0.20000000000000004</v>
      </c>
      <c r="G49" s="48">
        <f>+D49-'Salarios Jun 15'!B14</f>
        <v>21.099999999999994</v>
      </c>
      <c r="H49" s="187">
        <f>+G49/'[1]Salarios Jun 15'!B14</f>
        <v>0.44807814822679959</v>
      </c>
    </row>
    <row r="50" spans="1:11" ht="16.5" x14ac:dyDescent="0.3">
      <c r="A50" s="290" t="s">
        <v>161</v>
      </c>
      <c r="B50" s="291"/>
      <c r="C50" s="14">
        <v>6.5</v>
      </c>
      <c r="D50" s="90">
        <v>6.92</v>
      </c>
      <c r="E50" s="87">
        <v>1.0899999999999999</v>
      </c>
      <c r="F50" s="187">
        <v>0.20147874306839184</v>
      </c>
      <c r="G50" s="48">
        <v>1.5099999999999998</v>
      </c>
      <c r="H50" s="187">
        <v>0.27911275415896486</v>
      </c>
    </row>
    <row r="51" spans="1:11" ht="16.5" x14ac:dyDescent="0.3">
      <c r="A51" s="290" t="s">
        <v>22</v>
      </c>
      <c r="B51" s="291"/>
      <c r="C51" s="14">
        <v>122.62</v>
      </c>
      <c r="D51" s="90">
        <v>130.59</v>
      </c>
      <c r="E51" s="87">
        <v>20.439999999999998</v>
      </c>
      <c r="F51" s="187">
        <v>0.20003914660403208</v>
      </c>
      <c r="G51" s="48">
        <v>28.409999999999997</v>
      </c>
      <c r="H51" s="187">
        <v>0.2780387551379917</v>
      </c>
    </row>
    <row r="52" spans="1:11" ht="16.5" x14ac:dyDescent="0.3">
      <c r="A52" s="290" t="s">
        <v>37</v>
      </c>
      <c r="B52" s="291"/>
      <c r="C52" s="68">
        <v>53.95</v>
      </c>
      <c r="D52" s="91">
        <v>57.46</v>
      </c>
      <c r="E52" s="87">
        <v>8.990000000000002</v>
      </c>
      <c r="F52" s="187">
        <v>0.19995551601423492</v>
      </c>
      <c r="G52" s="48">
        <v>12.5</v>
      </c>
      <c r="H52" s="187">
        <v>0.27802491103202848</v>
      </c>
    </row>
    <row r="53" spans="1:11" ht="16.5" x14ac:dyDescent="0.3">
      <c r="A53" s="292" t="s">
        <v>24</v>
      </c>
      <c r="B53" s="293"/>
      <c r="C53" s="194">
        <v>1041</v>
      </c>
      <c r="D53" s="92">
        <v>1109</v>
      </c>
      <c r="E53" s="87">
        <f>+C53-'[1]Salarios Jun 15'!B19</f>
        <v>386</v>
      </c>
      <c r="F53" s="187">
        <f>+E53/'[1]Salarios Jun 15'!B19</f>
        <v>0.58931297709923669</v>
      </c>
      <c r="G53" s="48">
        <f>+D53-'[1]Salarios Jun 15'!B19</f>
        <v>454</v>
      </c>
      <c r="H53" s="187">
        <f>+G53/'[1]Salarios Jun 15'!B19</f>
        <v>0.69312977099236639</v>
      </c>
    </row>
    <row r="54" spans="1:11" ht="17.25" thickBot="1" x14ac:dyDescent="0.35">
      <c r="A54" s="296" t="s">
        <v>38</v>
      </c>
      <c r="B54" s="297"/>
      <c r="C54" s="294">
        <v>1390</v>
      </c>
      <c r="D54" s="295"/>
    </row>
    <row r="55" spans="1:11" ht="15.75" x14ac:dyDescent="0.25">
      <c r="A55" s="93" t="s">
        <v>107</v>
      </c>
      <c r="B55" s="53"/>
      <c r="C55" s="54"/>
    </row>
    <row r="56" spans="1:11" ht="11.25" customHeight="1" thickBot="1" x14ac:dyDescent="0.3">
      <c r="A56" s="93"/>
      <c r="B56" s="53"/>
      <c r="C56" s="54"/>
    </row>
    <row r="57" spans="1:11" ht="32.25" thickBot="1" x14ac:dyDescent="0.3">
      <c r="A57" s="286" t="s">
        <v>181</v>
      </c>
      <c r="B57" s="287"/>
      <c r="C57" s="77" t="s">
        <v>160</v>
      </c>
      <c r="D57" s="77" t="s">
        <v>103</v>
      </c>
    </row>
    <row r="58" spans="1:11" ht="16.5" thickBot="1" x14ac:dyDescent="0.3">
      <c r="A58" s="288" t="s">
        <v>104</v>
      </c>
      <c r="B58" s="289"/>
      <c r="C58" s="78">
        <v>843</v>
      </c>
      <c r="D58" s="79">
        <v>1068</v>
      </c>
    </row>
    <row r="59" spans="1:11" ht="11.25" customHeight="1" x14ac:dyDescent="0.3">
      <c r="A59" s="52"/>
      <c r="B59" s="53"/>
      <c r="C59" s="54"/>
    </row>
    <row r="60" spans="1:11" ht="17.25" thickBot="1" x14ac:dyDescent="0.35">
      <c r="A60" s="284" t="s">
        <v>94</v>
      </c>
      <c r="B60" s="284"/>
      <c r="C60" s="284"/>
      <c r="H60" s="283" t="s">
        <v>177</v>
      </c>
      <c r="I60" s="283"/>
      <c r="J60" s="115"/>
    </row>
    <row r="61" spans="1:11" ht="48.75" thickTop="1" thickBot="1" x14ac:dyDescent="0.3">
      <c r="A61" s="136" t="s">
        <v>34</v>
      </c>
      <c r="B61" s="137" t="s">
        <v>173</v>
      </c>
      <c r="C61" s="138" t="s">
        <v>176</v>
      </c>
      <c r="H61" s="69" t="s">
        <v>34</v>
      </c>
      <c r="I61" s="258" t="s">
        <v>175</v>
      </c>
      <c r="J61" s="70" t="s">
        <v>174</v>
      </c>
      <c r="K61" s="122"/>
    </row>
    <row r="62" spans="1:11" ht="17.25" thickTop="1" x14ac:dyDescent="0.3">
      <c r="A62" s="139" t="s">
        <v>61</v>
      </c>
      <c r="B62" s="50">
        <v>42</v>
      </c>
      <c r="C62" s="140">
        <v>45</v>
      </c>
      <c r="H62" s="71" t="s">
        <v>61</v>
      </c>
      <c r="I62" s="254">
        <v>38</v>
      </c>
      <c r="J62" s="72">
        <v>41</v>
      </c>
      <c r="K62" s="116"/>
    </row>
    <row r="63" spans="1:11" ht="17.25" thickBot="1" x14ac:dyDescent="0.35">
      <c r="A63" s="139" t="s">
        <v>62</v>
      </c>
      <c r="B63" s="50">
        <v>177</v>
      </c>
      <c r="C63" s="140">
        <v>189</v>
      </c>
      <c r="H63" s="71" t="s">
        <v>62</v>
      </c>
      <c r="I63" s="255">
        <v>159</v>
      </c>
      <c r="J63" s="72">
        <v>171</v>
      </c>
      <c r="K63" s="116"/>
    </row>
    <row r="64" spans="1:11" ht="16.5" customHeight="1" x14ac:dyDescent="0.3">
      <c r="A64" s="139" t="s">
        <v>63</v>
      </c>
      <c r="B64" s="50">
        <v>177</v>
      </c>
      <c r="C64" s="140">
        <v>189</v>
      </c>
      <c r="H64" s="71" t="s">
        <v>63</v>
      </c>
      <c r="I64" s="256">
        <v>159</v>
      </c>
      <c r="J64" s="146">
        <v>171</v>
      </c>
      <c r="K64" s="251" t="s">
        <v>163</v>
      </c>
    </row>
    <row r="65" spans="1:11" ht="16.5" x14ac:dyDescent="0.3">
      <c r="A65" s="139" t="s">
        <v>64</v>
      </c>
      <c r="B65" s="50">
        <v>439</v>
      </c>
      <c r="C65" s="140">
        <v>467</v>
      </c>
      <c r="H65" s="71" t="s">
        <v>64</v>
      </c>
      <c r="I65" s="255">
        <v>394</v>
      </c>
      <c r="J65" s="146">
        <v>423</v>
      </c>
      <c r="K65" s="252"/>
    </row>
    <row r="66" spans="1:11" ht="17.25" thickBot="1" x14ac:dyDescent="0.35">
      <c r="A66" s="141" t="s">
        <v>65</v>
      </c>
      <c r="B66" s="51">
        <v>59</v>
      </c>
      <c r="C66" s="142">
        <v>63</v>
      </c>
      <c r="D66" s="114" t="s">
        <v>59</v>
      </c>
      <c r="E66" s="114" t="s">
        <v>67</v>
      </c>
      <c r="H66" s="73" t="s">
        <v>65</v>
      </c>
      <c r="I66" s="257">
        <v>53</v>
      </c>
      <c r="J66" s="147">
        <v>57</v>
      </c>
      <c r="K66" s="253"/>
    </row>
    <row r="67" spans="1:11" ht="18" thickTop="1" thickBot="1" x14ac:dyDescent="0.35">
      <c r="A67" s="143" t="s">
        <v>66</v>
      </c>
      <c r="B67" s="144">
        <v>894</v>
      </c>
      <c r="C67" s="145">
        <v>953</v>
      </c>
      <c r="D67" s="188">
        <v>1.3648854961832062</v>
      </c>
      <c r="E67" s="187">
        <v>1.4549618320610687</v>
      </c>
      <c r="F67" s="3"/>
      <c r="H67" s="73" t="s">
        <v>66</v>
      </c>
      <c r="I67" s="260">
        <v>803</v>
      </c>
      <c r="J67" s="259">
        <v>863</v>
      </c>
      <c r="K67" s="148">
        <f>+C67-J67</f>
        <v>90</v>
      </c>
    </row>
    <row r="68" spans="1:11" x14ac:dyDescent="0.25">
      <c r="G68" s="3"/>
      <c r="H68" s="3"/>
      <c r="I68" s="3"/>
      <c r="J68" s="3"/>
    </row>
    <row r="69" spans="1:11" ht="17.25" thickBot="1" x14ac:dyDescent="0.35">
      <c r="A69" s="277" t="s">
        <v>172</v>
      </c>
      <c r="B69" s="277"/>
      <c r="G69" s="3"/>
      <c r="H69" s="3"/>
      <c r="I69" s="3"/>
      <c r="J69" s="3"/>
    </row>
    <row r="70" spans="1:11" ht="16.5" x14ac:dyDescent="0.3">
      <c r="A70" s="240" t="s">
        <v>27</v>
      </c>
      <c r="B70" s="241" t="s">
        <v>170</v>
      </c>
      <c r="C70" s="238"/>
    </row>
    <row r="71" spans="1:11" ht="15.75" x14ac:dyDescent="0.25">
      <c r="A71" s="242" t="s">
        <v>8</v>
      </c>
      <c r="B71" s="140">
        <v>2807</v>
      </c>
      <c r="C71" s="239"/>
    </row>
    <row r="72" spans="1:11" ht="15.75" x14ac:dyDescent="0.25">
      <c r="A72" s="242" t="s">
        <v>9</v>
      </c>
      <c r="B72" s="140">
        <v>3083</v>
      </c>
      <c r="C72" s="239"/>
    </row>
    <row r="73" spans="1:11" ht="15.75" x14ac:dyDescent="0.25">
      <c r="A73" s="243" t="s">
        <v>10</v>
      </c>
      <c r="B73" s="140">
        <v>3306</v>
      </c>
      <c r="C73" s="239"/>
    </row>
    <row r="74" spans="1:11" ht="15.75" x14ac:dyDescent="0.25">
      <c r="A74" s="243" t="s">
        <v>11</v>
      </c>
      <c r="B74" s="140">
        <v>3619</v>
      </c>
      <c r="C74" s="239"/>
    </row>
    <row r="75" spans="1:11" ht="15.75" x14ac:dyDescent="0.25">
      <c r="A75" s="243" t="s">
        <v>12</v>
      </c>
      <c r="B75" s="140">
        <v>3915</v>
      </c>
      <c r="C75" s="239"/>
    </row>
    <row r="76" spans="1:11" ht="15.75" x14ac:dyDescent="0.25">
      <c r="A76" s="243" t="s">
        <v>13</v>
      </c>
      <c r="B76" s="140">
        <v>4349</v>
      </c>
      <c r="C76" s="239"/>
    </row>
    <row r="77" spans="1:11" ht="15.75" x14ac:dyDescent="0.25">
      <c r="A77" s="243" t="s">
        <v>14</v>
      </c>
      <c r="B77" s="140">
        <v>4822</v>
      </c>
      <c r="C77" s="239"/>
    </row>
    <row r="78" spans="1:11" ht="15.75" x14ac:dyDescent="0.25">
      <c r="A78" s="243" t="s">
        <v>28</v>
      </c>
      <c r="B78" s="140">
        <v>4871</v>
      </c>
      <c r="C78" s="239"/>
    </row>
    <row r="79" spans="1:11" ht="16.5" thickBot="1" x14ac:dyDescent="0.3">
      <c r="A79" s="244" t="s">
        <v>16</v>
      </c>
      <c r="B79" s="245">
        <v>5098</v>
      </c>
      <c r="C79" s="239"/>
    </row>
  </sheetData>
  <sheetProtection password="CC06" sheet="1" objects="1" scenarios="1"/>
  <customSheetViews>
    <customSheetView guid="{E594EE41-4917-4282-8F66-A5D93E449294}" showGridLines="0" hiddenRows="1" hiddenColumns="1">
      <selection activeCell="A5" sqref="A5:A14"/>
      <pageMargins left="0.31496062992125984" right="0.31496062992125984" top="0.35433070866141736" bottom="0.35433070866141736" header="0.31496062992125984" footer="0.31496062992125984"/>
      <pageSetup paperSize="9" scale="80" orientation="landscape" r:id="rId1"/>
    </customSheetView>
  </customSheetViews>
  <mergeCells count="25">
    <mergeCell ref="A1:R1"/>
    <mergeCell ref="O14:O16"/>
    <mergeCell ref="A47:B48"/>
    <mergeCell ref="A49:B49"/>
    <mergeCell ref="A50:B50"/>
    <mergeCell ref="P16:Q16"/>
    <mergeCell ref="D14:F14"/>
    <mergeCell ref="D15:F15"/>
    <mergeCell ref="H16:I16"/>
    <mergeCell ref="A69:B69"/>
    <mergeCell ref="H3:I3"/>
    <mergeCell ref="C47:C48"/>
    <mergeCell ref="E28:G28"/>
    <mergeCell ref="H60:I60"/>
    <mergeCell ref="A60:C60"/>
    <mergeCell ref="A40:B40"/>
    <mergeCell ref="A57:B57"/>
    <mergeCell ref="A58:B58"/>
    <mergeCell ref="A51:B51"/>
    <mergeCell ref="A52:B52"/>
    <mergeCell ref="A53:B53"/>
    <mergeCell ref="C54:D54"/>
    <mergeCell ref="A54:B54"/>
    <mergeCell ref="E47:F47"/>
    <mergeCell ref="G47:H47"/>
  </mergeCells>
  <pageMargins left="0.31496062992125984" right="0.31496062992125984" top="0.35433070866141736" bottom="0.35433070866141736" header="0.31496062992125984" footer="0.31496062992125984"/>
  <pageSetup paperSize="9" scale="7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opLeftCell="A7" workbookViewId="0">
      <selection activeCell="K18" sqref="K18"/>
    </sheetView>
  </sheetViews>
  <sheetFormatPr baseColWidth="10" defaultRowHeight="15" x14ac:dyDescent="0.25"/>
  <cols>
    <col min="2" max="2" width="25.42578125" customWidth="1"/>
  </cols>
  <sheetData>
    <row r="1" spans="1:12" ht="18.75" x14ac:dyDescent="0.3">
      <c r="A1" s="47" t="s">
        <v>96</v>
      </c>
    </row>
    <row r="2" spans="1:12" ht="15.75" thickBot="1" x14ac:dyDescent="0.3">
      <c r="A2" t="s">
        <v>102</v>
      </c>
    </row>
    <row r="3" spans="1:12" ht="33" thickTop="1" x14ac:dyDescent="0.3">
      <c r="A3" s="30" t="s">
        <v>27</v>
      </c>
      <c r="B3" s="31" t="s">
        <v>49</v>
      </c>
      <c r="C3" s="101" t="s">
        <v>125</v>
      </c>
    </row>
    <row r="4" spans="1:12" ht="15.75" x14ac:dyDescent="0.25">
      <c r="A4" s="32" t="s">
        <v>8</v>
      </c>
      <c r="B4" s="37">
        <v>2807</v>
      </c>
      <c r="C4" s="46">
        <v>0.17812043911415698</v>
      </c>
    </row>
    <row r="5" spans="1:12" ht="15.75" x14ac:dyDescent="0.25">
      <c r="A5" s="32" t="s">
        <v>9</v>
      </c>
      <c r="B5" s="37">
        <v>3083</v>
      </c>
      <c r="C5" s="46">
        <v>0.17830085015325892</v>
      </c>
    </row>
    <row r="6" spans="1:12" ht="15.75" x14ac:dyDescent="0.25">
      <c r="A6" s="33" t="s">
        <v>10</v>
      </c>
      <c r="B6" s="37">
        <v>3306</v>
      </c>
      <c r="C6" s="46">
        <v>0.17837487860148915</v>
      </c>
    </row>
    <row r="7" spans="1:12" ht="15.75" x14ac:dyDescent="0.25">
      <c r="A7" s="33" t="s">
        <v>11</v>
      </c>
      <c r="B7" s="37">
        <v>3619</v>
      </c>
      <c r="C7" s="46">
        <v>0.17847807861123441</v>
      </c>
    </row>
    <row r="8" spans="1:12" ht="15.75" x14ac:dyDescent="0.25">
      <c r="A8" s="33" t="s">
        <v>12</v>
      </c>
      <c r="B8" s="37">
        <v>3915</v>
      </c>
      <c r="C8" s="46">
        <v>0.17858772009853116</v>
      </c>
    </row>
    <row r="9" spans="1:12" ht="15.75" x14ac:dyDescent="0.25">
      <c r="A9" s="33" t="s">
        <v>13</v>
      </c>
      <c r="B9" s="37">
        <v>4349</v>
      </c>
      <c r="C9" s="46">
        <v>0.17812090432503278</v>
      </c>
    </row>
    <row r="10" spans="1:12" ht="15.75" x14ac:dyDescent="0.25">
      <c r="A10" s="33" t="s">
        <v>14</v>
      </c>
      <c r="B10" s="37">
        <v>4822</v>
      </c>
      <c r="C10" s="46">
        <v>0.17826906724832711</v>
      </c>
    </row>
    <row r="11" spans="1:12" ht="15.75" x14ac:dyDescent="0.25">
      <c r="A11" s="33" t="s">
        <v>28</v>
      </c>
      <c r="B11" s="37">
        <v>4871</v>
      </c>
      <c r="C11" s="46">
        <v>0.17830081628170871</v>
      </c>
    </row>
    <row r="12" spans="1:12" ht="16.5" thickBot="1" x14ac:dyDescent="0.3">
      <c r="A12" s="34" t="s">
        <v>16</v>
      </c>
      <c r="B12" s="38">
        <v>5098</v>
      </c>
      <c r="C12" s="46">
        <v>0.17836400531803231</v>
      </c>
    </row>
    <row r="13" spans="1:12" ht="15.75" thickTop="1" x14ac:dyDescent="0.25"/>
    <row r="14" spans="1:12" ht="15.75" x14ac:dyDescent="0.25">
      <c r="A14" s="45" t="s">
        <v>51</v>
      </c>
    </row>
    <row r="15" spans="1:12" x14ac:dyDescent="0.25">
      <c r="A15" s="1" t="s">
        <v>52</v>
      </c>
    </row>
    <row r="16" spans="1:12" ht="60" x14ac:dyDescent="0.25">
      <c r="A16" s="5" t="s">
        <v>1</v>
      </c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53</v>
      </c>
      <c r="I16" s="5" t="s">
        <v>18</v>
      </c>
      <c r="J16" s="40" t="s">
        <v>56</v>
      </c>
      <c r="K16" s="5" t="s">
        <v>54</v>
      </c>
      <c r="L16" s="7" t="s">
        <v>55</v>
      </c>
    </row>
    <row r="17" spans="1:12" ht="15.75" x14ac:dyDescent="0.25">
      <c r="A17" s="6" t="s">
        <v>8</v>
      </c>
      <c r="B17" s="6">
        <v>9841</v>
      </c>
      <c r="C17" s="7">
        <v>2000</v>
      </c>
      <c r="D17" s="7">
        <v>1355</v>
      </c>
      <c r="E17" s="7">
        <v>357</v>
      </c>
      <c r="F17" s="7">
        <v>1184</v>
      </c>
      <c r="G17" s="7">
        <v>882</v>
      </c>
      <c r="H17" s="7">
        <v>140</v>
      </c>
      <c r="I17" s="7">
        <f>SUM(B17:H17)</f>
        <v>15759</v>
      </c>
      <c r="J17" s="41">
        <f>+I17*0.1759</f>
        <v>2772.0081</v>
      </c>
      <c r="K17" s="42">
        <v>2807</v>
      </c>
      <c r="L17" s="46">
        <f>+K17/I17</f>
        <v>0.17812043911415698</v>
      </c>
    </row>
    <row r="18" spans="1:12" ht="15.75" x14ac:dyDescent="0.25">
      <c r="A18" s="6" t="s">
        <v>9</v>
      </c>
      <c r="B18" s="6">
        <v>10929</v>
      </c>
      <c r="C18" s="7">
        <v>2000</v>
      </c>
      <c r="D18" s="7">
        <v>1355</v>
      </c>
      <c r="E18" s="7">
        <v>357</v>
      </c>
      <c r="F18" s="7">
        <v>1493</v>
      </c>
      <c r="G18" s="7">
        <v>1017</v>
      </c>
      <c r="H18" s="7">
        <v>140</v>
      </c>
      <c r="I18" s="7">
        <f t="shared" ref="I18:I25" si="0">SUM(B18:H18)</f>
        <v>17291</v>
      </c>
      <c r="J18" s="41">
        <f>+I18*0.1759</f>
        <v>3041.4868999999999</v>
      </c>
      <c r="K18" s="42">
        <v>3083</v>
      </c>
      <c r="L18" s="46">
        <f t="shared" ref="L18:L25" si="1">+K18/I18</f>
        <v>0.17830085015325892</v>
      </c>
    </row>
    <row r="19" spans="1:12" ht="15.75" x14ac:dyDescent="0.25">
      <c r="A19" s="6" t="s">
        <v>10</v>
      </c>
      <c r="B19" s="6">
        <v>11814</v>
      </c>
      <c r="C19" s="7">
        <v>2000</v>
      </c>
      <c r="D19" s="7">
        <v>1355</v>
      </c>
      <c r="E19" s="7">
        <v>357</v>
      </c>
      <c r="F19" s="7">
        <v>1741</v>
      </c>
      <c r="G19" s="7">
        <v>1127</v>
      </c>
      <c r="H19" s="7">
        <v>140</v>
      </c>
      <c r="I19" s="7">
        <f t="shared" si="0"/>
        <v>18534</v>
      </c>
      <c r="J19" s="41">
        <f>+I19*0.1759</f>
        <v>3260.1306</v>
      </c>
      <c r="K19" s="42">
        <v>3306</v>
      </c>
      <c r="L19" s="46">
        <f t="shared" si="1"/>
        <v>0.17837487860148915</v>
      </c>
    </row>
    <row r="20" spans="1:12" ht="15.75" x14ac:dyDescent="0.25">
      <c r="A20" s="6" t="s">
        <v>11</v>
      </c>
      <c r="B20" s="6">
        <v>12860</v>
      </c>
      <c r="C20" s="7">
        <v>2000</v>
      </c>
      <c r="D20" s="7">
        <v>1355</v>
      </c>
      <c r="E20" s="7">
        <v>357</v>
      </c>
      <c r="F20" s="7">
        <v>2284</v>
      </c>
      <c r="G20" s="7">
        <v>1281</v>
      </c>
      <c r="H20" s="7">
        <v>140</v>
      </c>
      <c r="I20" s="7">
        <f t="shared" si="0"/>
        <v>20277</v>
      </c>
      <c r="J20" s="41">
        <f>+I20*0.1759</f>
        <v>3566.7242999999999</v>
      </c>
      <c r="K20" s="42">
        <v>3619</v>
      </c>
      <c r="L20" s="46">
        <f t="shared" si="1"/>
        <v>0.17847807861123441</v>
      </c>
    </row>
    <row r="21" spans="1:12" ht="15.75" x14ac:dyDescent="0.25">
      <c r="A21" s="6" t="s">
        <v>12</v>
      </c>
      <c r="B21" s="6">
        <v>14091</v>
      </c>
      <c r="C21" s="7">
        <v>2000</v>
      </c>
      <c r="D21" s="7">
        <v>1355</v>
      </c>
      <c r="E21" s="7">
        <v>357</v>
      </c>
      <c r="F21" s="7">
        <v>2552</v>
      </c>
      <c r="G21" s="7">
        <v>1427</v>
      </c>
      <c r="H21" s="7">
        <v>140</v>
      </c>
      <c r="I21" s="7">
        <f t="shared" si="0"/>
        <v>21922</v>
      </c>
      <c r="J21" s="41">
        <f>+I21*0.1759</f>
        <v>3856.0798</v>
      </c>
      <c r="K21" s="42">
        <v>3915</v>
      </c>
      <c r="L21" s="46">
        <f t="shared" si="1"/>
        <v>0.17858772009853116</v>
      </c>
    </row>
    <row r="22" spans="1:12" ht="15.75" x14ac:dyDescent="0.25">
      <c r="A22" s="6" t="s">
        <v>13</v>
      </c>
      <c r="B22" s="6">
        <v>15704</v>
      </c>
      <c r="C22" s="7">
        <v>2000</v>
      </c>
      <c r="D22" s="7">
        <v>1355</v>
      </c>
      <c r="E22" s="7">
        <v>357</v>
      </c>
      <c r="F22" s="7">
        <v>3140</v>
      </c>
      <c r="G22" s="7">
        <v>1640</v>
      </c>
      <c r="H22" s="7">
        <v>220</v>
      </c>
      <c r="I22" s="7">
        <f t="shared" si="0"/>
        <v>24416</v>
      </c>
      <c r="J22" s="41">
        <f>+I22*0.1765</f>
        <v>4309.424</v>
      </c>
      <c r="K22" s="42">
        <v>4349</v>
      </c>
      <c r="L22" s="46">
        <f t="shared" si="1"/>
        <v>0.17812090432503278</v>
      </c>
    </row>
    <row r="23" spans="1:12" ht="15.75" x14ac:dyDescent="0.25">
      <c r="A23" s="6" t="s">
        <v>14</v>
      </c>
      <c r="B23" s="6">
        <v>17446</v>
      </c>
      <c r="C23" s="7">
        <v>2000</v>
      </c>
      <c r="D23" s="7">
        <v>1355</v>
      </c>
      <c r="E23" s="7">
        <v>357</v>
      </c>
      <c r="F23" s="7">
        <v>3798</v>
      </c>
      <c r="G23" s="7">
        <v>1873</v>
      </c>
      <c r="H23" s="7">
        <v>220</v>
      </c>
      <c r="I23" s="7">
        <f t="shared" si="0"/>
        <v>27049</v>
      </c>
      <c r="J23" s="41">
        <f>+I23*0.1765</f>
        <v>4774.1484999999993</v>
      </c>
      <c r="K23" s="42">
        <v>4822</v>
      </c>
      <c r="L23" s="46">
        <f t="shared" si="1"/>
        <v>0.17826906724832711</v>
      </c>
    </row>
    <row r="24" spans="1:12" ht="15.75" x14ac:dyDescent="0.25">
      <c r="A24" s="6" t="s">
        <v>15</v>
      </c>
      <c r="B24" s="6">
        <v>17802</v>
      </c>
      <c r="C24" s="7">
        <v>2000</v>
      </c>
      <c r="D24" s="7">
        <v>1355</v>
      </c>
      <c r="E24" s="7">
        <v>357</v>
      </c>
      <c r="F24" s="7">
        <v>3688</v>
      </c>
      <c r="G24" s="43">
        <v>1897</v>
      </c>
      <c r="H24" s="7">
        <v>220</v>
      </c>
      <c r="I24" s="7">
        <f t="shared" si="0"/>
        <v>27319</v>
      </c>
      <c r="J24" s="41">
        <f>+I24*0.1765</f>
        <v>4821.8035</v>
      </c>
      <c r="K24" s="42">
        <v>4871</v>
      </c>
      <c r="L24" s="46">
        <f t="shared" si="1"/>
        <v>0.17830081628170871</v>
      </c>
    </row>
    <row r="25" spans="1:12" ht="15.75" x14ac:dyDescent="0.25">
      <c r="A25" s="6" t="s">
        <v>16</v>
      </c>
      <c r="B25" s="6">
        <v>18719</v>
      </c>
      <c r="C25" s="7">
        <v>2000</v>
      </c>
      <c r="D25" s="7">
        <v>1355</v>
      </c>
      <c r="E25" s="7">
        <v>357</v>
      </c>
      <c r="F25" s="7">
        <v>3922</v>
      </c>
      <c r="G25" s="7">
        <v>2009</v>
      </c>
      <c r="H25" s="7">
        <v>220</v>
      </c>
      <c r="I25" s="7">
        <f t="shared" si="0"/>
        <v>28582</v>
      </c>
      <c r="J25" s="41">
        <f>+I25*0.1765</f>
        <v>5044.723</v>
      </c>
      <c r="K25" s="42">
        <v>5098</v>
      </c>
      <c r="L25" s="46">
        <f t="shared" si="1"/>
        <v>0.17836400531803231</v>
      </c>
    </row>
  </sheetData>
  <sheetProtection password="CC06" sheet="1"/>
  <customSheetViews>
    <customSheetView guid="{E594EE41-4917-4282-8F66-A5D93E449294}" showGridLines="0">
      <selection activeCell="C3" sqref="C3:C12"/>
      <pageMargins left="0.31496062992125984" right="0.31496062992125984" top="0.35433070866141736" bottom="0.35433070866141736" header="0.31496062992125984" footer="0.31496062992125984"/>
      <pageSetup paperSize="9" scale="90" orientation="landscape" r:id="rId1"/>
    </customSheetView>
  </customSheetViews>
  <pageMargins left="0.31496062992125984" right="0.31496062992125984" top="0.35433070866141736" bottom="0.35433070866141736" header="0.31496062992125984" footer="0.31496062992125984"/>
  <pageSetup paperSize="9" scale="9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6"/>
  <sheetViews>
    <sheetView topLeftCell="A61" workbookViewId="0">
      <selection activeCell="B19" sqref="B19"/>
    </sheetView>
  </sheetViews>
  <sheetFormatPr baseColWidth="10" defaultRowHeight="15" x14ac:dyDescent="0.25"/>
  <cols>
    <col min="1" max="1" width="18" bestFit="1" customWidth="1"/>
    <col min="7" max="7" width="18" customWidth="1"/>
    <col min="8" max="8" width="12.140625" customWidth="1"/>
    <col min="10" max="10" width="13" bestFit="1" customWidth="1"/>
    <col min="13" max="13" width="18" customWidth="1"/>
  </cols>
  <sheetData>
    <row r="2" spans="1:23" x14ac:dyDescent="0.25">
      <c r="A2" s="1" t="s">
        <v>0</v>
      </c>
    </row>
    <row r="3" spans="1:23" ht="60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42</v>
      </c>
      <c r="I3" s="5" t="s">
        <v>18</v>
      </c>
      <c r="J3" s="40">
        <v>0.17380000000000001</v>
      </c>
      <c r="K3" s="5" t="s">
        <v>50</v>
      </c>
      <c r="L3" s="7"/>
      <c r="T3" s="2"/>
      <c r="U3" s="2"/>
      <c r="V3" s="2"/>
      <c r="W3" s="2"/>
    </row>
    <row r="4" spans="1:23" ht="15.75" x14ac:dyDescent="0.25">
      <c r="A4" s="6" t="s">
        <v>8</v>
      </c>
      <c r="B4" s="6">
        <v>9841</v>
      </c>
      <c r="C4" s="7">
        <v>2000</v>
      </c>
      <c r="D4" s="7">
        <v>1355</v>
      </c>
      <c r="E4" s="7">
        <v>357</v>
      </c>
      <c r="F4" s="7">
        <v>1184</v>
      </c>
      <c r="G4" s="7">
        <v>882</v>
      </c>
      <c r="H4" s="7">
        <v>140</v>
      </c>
      <c r="I4" s="7">
        <f>SUM(B4:H4)</f>
        <v>15759</v>
      </c>
      <c r="J4" s="41">
        <f>+I4*0.1738</f>
        <v>2738.9142000000002</v>
      </c>
      <c r="K4" s="42">
        <v>2807</v>
      </c>
      <c r="L4" s="7">
        <f>+K4/I4</f>
        <v>0.17812043911415698</v>
      </c>
      <c r="T4" s="3"/>
      <c r="U4" s="3"/>
      <c r="V4" s="3"/>
      <c r="W4" s="3"/>
    </row>
    <row r="5" spans="1:23" ht="15.75" x14ac:dyDescent="0.25">
      <c r="A5" s="6" t="s">
        <v>9</v>
      </c>
      <c r="B5" s="6">
        <v>10929</v>
      </c>
      <c r="C5" s="7">
        <v>2000</v>
      </c>
      <c r="D5" s="7">
        <v>1355</v>
      </c>
      <c r="E5" s="7">
        <v>357</v>
      </c>
      <c r="F5" s="7">
        <v>1493</v>
      </c>
      <c r="G5" s="7">
        <v>1017</v>
      </c>
      <c r="H5" s="7">
        <v>140</v>
      </c>
      <c r="I5" s="7">
        <f t="shared" ref="I5:I10" si="0">SUM(B5:G5)</f>
        <v>17151</v>
      </c>
      <c r="J5" s="41">
        <f t="shared" ref="J5:J12" si="1">+I5*0.1738</f>
        <v>2980.8438000000001</v>
      </c>
      <c r="K5" s="42">
        <v>3083</v>
      </c>
      <c r="L5" s="7">
        <f t="shared" ref="L5:L12" si="2">+K5/I5</f>
        <v>0.17975628243251121</v>
      </c>
      <c r="T5" s="3"/>
      <c r="U5" s="3"/>
      <c r="V5" s="3"/>
      <c r="W5" s="3"/>
    </row>
    <row r="6" spans="1:23" ht="15.75" x14ac:dyDescent="0.25">
      <c r="A6" s="6" t="s">
        <v>10</v>
      </c>
      <c r="B6" s="6">
        <v>11814</v>
      </c>
      <c r="C6" s="7">
        <v>2000</v>
      </c>
      <c r="D6" s="7">
        <v>1355</v>
      </c>
      <c r="E6" s="7">
        <v>357</v>
      </c>
      <c r="F6" s="7">
        <v>1741</v>
      </c>
      <c r="G6" s="7">
        <v>1127</v>
      </c>
      <c r="H6" s="7">
        <v>140</v>
      </c>
      <c r="I6" s="7">
        <f t="shared" si="0"/>
        <v>18394</v>
      </c>
      <c r="J6" s="41">
        <f t="shared" si="1"/>
        <v>3196.8772000000004</v>
      </c>
      <c r="K6" s="42">
        <v>3306</v>
      </c>
      <c r="L6" s="7">
        <f t="shared" si="2"/>
        <v>0.17973252147439384</v>
      </c>
      <c r="T6" s="3"/>
      <c r="U6" s="3"/>
      <c r="V6" s="3"/>
      <c r="W6" s="3"/>
    </row>
    <row r="7" spans="1:23" ht="15.75" x14ac:dyDescent="0.25">
      <c r="A7" s="6" t="s">
        <v>11</v>
      </c>
      <c r="B7" s="6">
        <v>12860</v>
      </c>
      <c r="C7" s="7">
        <v>2000</v>
      </c>
      <c r="D7" s="7">
        <v>1355</v>
      </c>
      <c r="E7" s="7">
        <v>357</v>
      </c>
      <c r="F7" s="7">
        <v>2284</v>
      </c>
      <c r="G7" s="7">
        <v>1281</v>
      </c>
      <c r="H7" s="7">
        <v>140</v>
      </c>
      <c r="I7" s="7">
        <f t="shared" si="0"/>
        <v>20137</v>
      </c>
      <c r="J7" s="41">
        <f t="shared" si="1"/>
        <v>3499.8106000000002</v>
      </c>
      <c r="K7" s="42">
        <v>3619</v>
      </c>
      <c r="L7" s="7">
        <f t="shared" si="2"/>
        <v>0.17971892536127526</v>
      </c>
      <c r="T7" s="3"/>
      <c r="U7" s="3"/>
      <c r="V7" s="3"/>
      <c r="W7" s="3"/>
    </row>
    <row r="8" spans="1:23" ht="15.75" x14ac:dyDescent="0.25">
      <c r="A8" s="6" t="s">
        <v>12</v>
      </c>
      <c r="B8" s="6">
        <v>14091</v>
      </c>
      <c r="C8" s="7">
        <v>2000</v>
      </c>
      <c r="D8" s="7">
        <v>1355</v>
      </c>
      <c r="E8" s="7">
        <v>357</v>
      </c>
      <c r="F8" s="7">
        <v>2552</v>
      </c>
      <c r="G8" s="7">
        <v>1427</v>
      </c>
      <c r="H8" s="7">
        <v>140</v>
      </c>
      <c r="I8" s="7">
        <f t="shared" si="0"/>
        <v>21782</v>
      </c>
      <c r="J8" s="41">
        <f t="shared" si="1"/>
        <v>3785.7116000000001</v>
      </c>
      <c r="K8" s="42">
        <v>3915</v>
      </c>
      <c r="L8" s="7">
        <f t="shared" si="2"/>
        <v>0.1797355614727757</v>
      </c>
      <c r="T8" s="3"/>
      <c r="U8" s="3"/>
      <c r="V8" s="3"/>
      <c r="W8" s="3"/>
    </row>
    <row r="9" spans="1:23" ht="15.75" x14ac:dyDescent="0.25">
      <c r="A9" s="6" t="s">
        <v>13</v>
      </c>
      <c r="B9" s="6">
        <v>15704</v>
      </c>
      <c r="C9" s="7">
        <v>2000</v>
      </c>
      <c r="D9" s="7">
        <v>1355</v>
      </c>
      <c r="E9" s="7">
        <v>357</v>
      </c>
      <c r="F9" s="7">
        <v>3140</v>
      </c>
      <c r="G9" s="7">
        <v>1640</v>
      </c>
      <c r="H9" s="7">
        <v>220</v>
      </c>
      <c r="I9" s="7">
        <f>SUM(B9:H9)</f>
        <v>24416</v>
      </c>
      <c r="J9" s="41">
        <f t="shared" si="1"/>
        <v>4243.5007999999998</v>
      </c>
      <c r="K9" s="42">
        <v>4349</v>
      </c>
      <c r="L9" s="7">
        <f t="shared" si="2"/>
        <v>0.17812090432503278</v>
      </c>
      <c r="T9" s="3"/>
      <c r="U9" s="3"/>
      <c r="V9" s="3"/>
      <c r="W9" s="3"/>
    </row>
    <row r="10" spans="1:23" ht="15.75" x14ac:dyDescent="0.25">
      <c r="A10" s="6" t="s">
        <v>14</v>
      </c>
      <c r="B10" s="6">
        <v>17446</v>
      </c>
      <c r="C10" s="7">
        <v>2000</v>
      </c>
      <c r="D10" s="7">
        <v>1355</v>
      </c>
      <c r="E10" s="7">
        <v>357</v>
      </c>
      <c r="F10" s="7">
        <v>3798</v>
      </c>
      <c r="G10" s="7">
        <v>1873</v>
      </c>
      <c r="H10" s="7">
        <v>220</v>
      </c>
      <c r="I10" s="7">
        <f t="shared" si="0"/>
        <v>26829</v>
      </c>
      <c r="J10" s="41">
        <f t="shared" si="1"/>
        <v>4662.8802000000005</v>
      </c>
      <c r="K10" s="42">
        <v>4822</v>
      </c>
      <c r="L10" s="7">
        <f t="shared" si="2"/>
        <v>0.17973088821797309</v>
      </c>
      <c r="T10" s="3"/>
      <c r="U10" s="3"/>
      <c r="V10" s="3"/>
      <c r="W10" s="3"/>
    </row>
    <row r="11" spans="1:23" ht="15.75" x14ac:dyDescent="0.25">
      <c r="A11" s="6" t="s">
        <v>15</v>
      </c>
      <c r="B11" s="6">
        <v>17802</v>
      </c>
      <c r="C11" s="7">
        <v>2000</v>
      </c>
      <c r="D11" s="7">
        <v>1355</v>
      </c>
      <c r="E11" s="7">
        <v>357</v>
      </c>
      <c r="F11" s="7">
        <v>3688</v>
      </c>
      <c r="G11" s="43">
        <v>1897</v>
      </c>
      <c r="H11" s="7">
        <v>220</v>
      </c>
      <c r="I11" s="44">
        <f>SUM(B11:G11)</f>
        <v>27099</v>
      </c>
      <c r="J11" s="41">
        <f t="shared" si="1"/>
        <v>4709.8062</v>
      </c>
      <c r="K11" s="42">
        <v>4871</v>
      </c>
      <c r="L11" s="7">
        <f t="shared" si="2"/>
        <v>0.17974833019668623</v>
      </c>
      <c r="M11" s="3"/>
      <c r="N11" s="3"/>
      <c r="O11" s="3"/>
      <c r="P11" s="3"/>
      <c r="Q11" s="3"/>
      <c r="T11" s="3"/>
      <c r="U11" s="3"/>
      <c r="V11" s="3"/>
    </row>
    <row r="12" spans="1:23" ht="15.75" x14ac:dyDescent="0.25">
      <c r="A12" s="6" t="s">
        <v>16</v>
      </c>
      <c r="B12" s="6">
        <v>18719</v>
      </c>
      <c r="C12" s="7">
        <v>2000</v>
      </c>
      <c r="D12" s="7">
        <v>1355</v>
      </c>
      <c r="E12" s="7">
        <v>357</v>
      </c>
      <c r="F12" s="7">
        <v>3922</v>
      </c>
      <c r="G12" s="7">
        <v>2009</v>
      </c>
      <c r="H12" s="7">
        <v>220</v>
      </c>
      <c r="I12" s="7">
        <f>SUM(B12:G12)</f>
        <v>28362</v>
      </c>
      <c r="J12" s="41">
        <f t="shared" si="1"/>
        <v>4929.3155999999999</v>
      </c>
      <c r="K12" s="42">
        <v>5098</v>
      </c>
      <c r="L12" s="7">
        <f t="shared" si="2"/>
        <v>0.17974754953811437</v>
      </c>
    </row>
    <row r="14" spans="1:23" x14ac:dyDescent="0.25">
      <c r="A14" t="s">
        <v>17</v>
      </c>
      <c r="B14" s="4">
        <v>47.09</v>
      </c>
    </row>
    <row r="15" spans="1:23" x14ac:dyDescent="0.25">
      <c r="A15" t="s">
        <v>20</v>
      </c>
      <c r="B15">
        <v>5.41</v>
      </c>
    </row>
    <row r="16" spans="1:23" x14ac:dyDescent="0.25">
      <c r="A16" t="s">
        <v>22</v>
      </c>
      <c r="B16">
        <v>102.18</v>
      </c>
    </row>
    <row r="17" spans="1:2" x14ac:dyDescent="0.25">
      <c r="A17" t="s">
        <v>23</v>
      </c>
      <c r="B17">
        <v>44.96</v>
      </c>
    </row>
    <row r="18" spans="1:2" x14ac:dyDescent="0.25">
      <c r="A18" t="s">
        <v>24</v>
      </c>
      <c r="B18">
        <v>842</v>
      </c>
    </row>
    <row r="19" spans="1:2" x14ac:dyDescent="0.25">
      <c r="A19" t="s">
        <v>25</v>
      </c>
      <c r="B19" s="4">
        <v>655</v>
      </c>
    </row>
    <row r="20" spans="1:2" x14ac:dyDescent="0.25">
      <c r="B20" s="4"/>
    </row>
    <row r="63" spans="13:15" x14ac:dyDescent="0.25">
      <c r="M63" t="s">
        <v>19</v>
      </c>
      <c r="N63">
        <v>47.1</v>
      </c>
    </row>
    <row r="64" spans="13:15" x14ac:dyDescent="0.25">
      <c r="M64" t="s">
        <v>20</v>
      </c>
      <c r="N64">
        <v>5.41</v>
      </c>
      <c r="O64" t="s">
        <v>21</v>
      </c>
    </row>
    <row r="65" spans="13:14" x14ac:dyDescent="0.25">
      <c r="M65" t="s">
        <v>22</v>
      </c>
      <c r="N65">
        <v>102.18</v>
      </c>
    </row>
    <row r="66" spans="13:14" x14ac:dyDescent="0.25">
      <c r="M66" t="s">
        <v>23</v>
      </c>
      <c r="N66">
        <v>44.96</v>
      </c>
    </row>
  </sheetData>
  <sheetProtection password="CC06" sheet="1"/>
  <customSheetViews>
    <customSheetView guid="{E594EE41-4917-4282-8F66-A5D93E449294}" topLeftCell="C1">
      <selection activeCell="I4" sqref="I4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opLeftCell="A16" workbookViewId="0">
      <selection activeCell="D27" sqref="D27"/>
    </sheetView>
  </sheetViews>
  <sheetFormatPr baseColWidth="10" defaultRowHeight="15" x14ac:dyDescent="0.25"/>
  <cols>
    <col min="1" max="1" width="24.140625" customWidth="1"/>
    <col min="3" max="3" width="12.42578125" bestFit="1" customWidth="1"/>
    <col min="4" max="4" width="13.42578125" bestFit="1" customWidth="1"/>
  </cols>
  <sheetData>
    <row r="1" spans="1:8" x14ac:dyDescent="0.25">
      <c r="A1" s="27" t="s">
        <v>68</v>
      </c>
    </row>
    <row r="3" spans="1:8" x14ac:dyDescent="0.25">
      <c r="B3" s="7" t="s">
        <v>69</v>
      </c>
      <c r="C3" s="7" t="s">
        <v>70</v>
      </c>
      <c r="D3" s="7" t="s">
        <v>71</v>
      </c>
      <c r="E3" s="7" t="s">
        <v>70</v>
      </c>
      <c r="F3" s="7" t="s">
        <v>72</v>
      </c>
    </row>
    <row r="4" spans="1:8" x14ac:dyDescent="0.25">
      <c r="A4" s="55" t="s">
        <v>8</v>
      </c>
      <c r="B4" s="7">
        <v>28</v>
      </c>
      <c r="C4" s="7">
        <v>192.36</v>
      </c>
      <c r="D4" s="63">
        <v>38.920000000000073</v>
      </c>
      <c r="E4" s="63">
        <v>266.9912000000005</v>
      </c>
      <c r="F4" s="60">
        <v>459.35120000000052</v>
      </c>
    </row>
    <row r="5" spans="1:8" x14ac:dyDescent="0.25">
      <c r="A5" s="56" t="s">
        <v>9</v>
      </c>
      <c r="B5" s="7">
        <v>28</v>
      </c>
      <c r="C5" s="7">
        <v>192.36</v>
      </c>
      <c r="D5" s="63">
        <v>38.920000000000073</v>
      </c>
      <c r="E5" s="63">
        <v>266.9912000000005</v>
      </c>
      <c r="F5" s="60">
        <v>459.35120000000052</v>
      </c>
    </row>
    <row r="6" spans="1:8" x14ac:dyDescent="0.25">
      <c r="A6" s="56" t="s">
        <v>10</v>
      </c>
      <c r="B6" s="7">
        <v>28</v>
      </c>
      <c r="C6" s="7">
        <v>192.36</v>
      </c>
      <c r="D6" s="63">
        <v>38.920000000000073</v>
      </c>
      <c r="E6" s="63">
        <v>266.9912000000005</v>
      </c>
      <c r="F6" s="60">
        <v>459.35120000000052</v>
      </c>
    </row>
    <row r="7" spans="1:8" x14ac:dyDescent="0.25">
      <c r="A7" s="56" t="s">
        <v>11</v>
      </c>
      <c r="B7" s="7">
        <v>28</v>
      </c>
      <c r="C7" s="7">
        <v>192.36</v>
      </c>
      <c r="D7" s="63">
        <v>38.920000000000073</v>
      </c>
      <c r="E7" s="63">
        <v>266.9912000000005</v>
      </c>
      <c r="F7" s="60">
        <v>459.35120000000052</v>
      </c>
    </row>
    <row r="8" spans="1:8" x14ac:dyDescent="0.25">
      <c r="A8" s="56" t="s">
        <v>12</v>
      </c>
      <c r="B8" s="7">
        <v>28</v>
      </c>
      <c r="C8" s="7">
        <v>192.36</v>
      </c>
      <c r="D8" s="63">
        <v>38.919999999999845</v>
      </c>
      <c r="E8" s="63">
        <v>266.99119999999897</v>
      </c>
      <c r="F8" s="60">
        <v>459.35119999999898</v>
      </c>
    </row>
    <row r="9" spans="1:8" x14ac:dyDescent="0.25">
      <c r="A9" s="56" t="s">
        <v>13</v>
      </c>
      <c r="B9" s="7">
        <v>44</v>
      </c>
      <c r="C9" s="7">
        <v>302.28000000000003</v>
      </c>
      <c r="D9" s="63">
        <v>61.160000000000082</v>
      </c>
      <c r="E9" s="63">
        <v>419.5576000000006</v>
      </c>
      <c r="F9" s="60">
        <v>721.83760000000063</v>
      </c>
    </row>
    <row r="10" spans="1:8" x14ac:dyDescent="0.25">
      <c r="A10" s="56" t="s">
        <v>14</v>
      </c>
      <c r="B10" s="7">
        <v>44</v>
      </c>
      <c r="C10" s="7">
        <v>302.28000000000003</v>
      </c>
      <c r="D10" s="63">
        <v>61.160000000000309</v>
      </c>
      <c r="E10" s="63">
        <v>419.55760000000214</v>
      </c>
      <c r="F10" s="60">
        <v>721.83760000000211</v>
      </c>
    </row>
    <row r="11" spans="1:8" x14ac:dyDescent="0.25">
      <c r="A11" s="23" t="s">
        <v>28</v>
      </c>
      <c r="B11" s="44">
        <v>44.199999999999818</v>
      </c>
      <c r="C11" s="7">
        <v>303.65399999999875</v>
      </c>
      <c r="D11" s="63">
        <v>61.437999999999647</v>
      </c>
      <c r="E11" s="63">
        <v>421.4646799999976</v>
      </c>
      <c r="F11" s="60">
        <v>725.1186799999964</v>
      </c>
    </row>
    <row r="12" spans="1:8" ht="15.75" thickBot="1" x14ac:dyDescent="0.3">
      <c r="A12" s="57" t="s">
        <v>16</v>
      </c>
      <c r="B12" s="7"/>
      <c r="C12" s="7"/>
      <c r="D12" s="7"/>
      <c r="E12" s="63"/>
      <c r="F12" s="60"/>
      <c r="H12" s="39"/>
    </row>
    <row r="14" spans="1:8" x14ac:dyDescent="0.25">
      <c r="A14" s="58" t="s">
        <v>73</v>
      </c>
      <c r="B14" s="59" t="s">
        <v>74</v>
      </c>
      <c r="C14" s="59" t="s">
        <v>75</v>
      </c>
      <c r="D14" s="59" t="s">
        <v>76</v>
      </c>
    </row>
    <row r="15" spans="1:8" x14ac:dyDescent="0.25">
      <c r="A15" s="7" t="s">
        <v>77</v>
      </c>
      <c r="B15" s="7">
        <v>6</v>
      </c>
      <c r="C15" s="60">
        <v>459.35120000000052</v>
      </c>
      <c r="D15" s="60">
        <v>2756.1072000000031</v>
      </c>
    </row>
    <row r="16" spans="1:8" x14ac:dyDescent="0.25">
      <c r="A16" s="7" t="s">
        <v>78</v>
      </c>
      <c r="B16" s="7">
        <v>6</v>
      </c>
      <c r="C16" s="60">
        <v>459.35120000000052</v>
      </c>
      <c r="D16" s="60">
        <v>2756.1072000000031</v>
      </c>
    </row>
    <row r="17" spans="1:5" x14ac:dyDescent="0.25">
      <c r="A17" s="7" t="s">
        <v>79</v>
      </c>
      <c r="B17" s="7">
        <v>8</v>
      </c>
      <c r="C17" s="60">
        <v>459.35120000000052</v>
      </c>
      <c r="D17" s="60">
        <v>3674.8096000000041</v>
      </c>
    </row>
    <row r="18" spans="1:5" x14ac:dyDescent="0.25">
      <c r="A18" s="7" t="s">
        <v>80</v>
      </c>
      <c r="B18" s="7">
        <v>17</v>
      </c>
      <c r="C18" s="60">
        <v>459.35120000000052</v>
      </c>
      <c r="D18" s="60">
        <v>7808.9704000000092</v>
      </c>
    </row>
    <row r="19" spans="1:5" x14ac:dyDescent="0.25">
      <c r="A19" s="7" t="s">
        <v>81</v>
      </c>
      <c r="B19" s="7">
        <v>33</v>
      </c>
      <c r="C19" s="60">
        <v>459.35119999999898</v>
      </c>
      <c r="D19" s="60">
        <v>15158.589599999967</v>
      </c>
    </row>
    <row r="20" spans="1:5" x14ac:dyDescent="0.25">
      <c r="A20" s="7" t="s">
        <v>82</v>
      </c>
      <c r="B20" s="7">
        <v>123</v>
      </c>
      <c r="C20" s="60">
        <v>721.83760000000063</v>
      </c>
      <c r="D20" s="60">
        <v>88786.024800000072</v>
      </c>
    </row>
    <row r="21" spans="1:5" x14ac:dyDescent="0.25">
      <c r="A21" s="7" t="s">
        <v>83</v>
      </c>
      <c r="B21" s="7">
        <v>96</v>
      </c>
      <c r="C21" s="60">
        <v>721.83760000000211</v>
      </c>
      <c r="D21" s="60">
        <v>69296.409600000203</v>
      </c>
    </row>
    <row r="22" spans="1:5" x14ac:dyDescent="0.25">
      <c r="C22" s="61" t="s">
        <v>84</v>
      </c>
      <c r="D22" s="62">
        <v>190237.01840000026</v>
      </c>
    </row>
    <row r="23" spans="1:5" x14ac:dyDescent="0.25">
      <c r="C23" s="66"/>
      <c r="D23" s="67"/>
    </row>
    <row r="24" spans="1:5" x14ac:dyDescent="0.25">
      <c r="A24" s="15" t="s">
        <v>1</v>
      </c>
      <c r="B24" s="15" t="s">
        <v>60</v>
      </c>
      <c r="C24" s="15" t="s">
        <v>85</v>
      </c>
      <c r="D24" s="15" t="s">
        <v>86</v>
      </c>
      <c r="E24" s="15" t="s">
        <v>87</v>
      </c>
    </row>
    <row r="25" spans="1:5" x14ac:dyDescent="0.25">
      <c r="A25" s="7" t="s">
        <v>77</v>
      </c>
      <c r="B25" s="63">
        <v>20101.2</v>
      </c>
      <c r="C25" s="64"/>
      <c r="D25" s="7"/>
      <c r="E25" s="7"/>
    </row>
    <row r="26" spans="1:5" x14ac:dyDescent="0.25">
      <c r="A26" s="7" t="s">
        <v>78</v>
      </c>
      <c r="B26" s="63">
        <v>21750</v>
      </c>
      <c r="C26" s="60">
        <v>1648.7999999999993</v>
      </c>
      <c r="D26" s="63">
        <v>9892.7999999999956</v>
      </c>
      <c r="E26" s="65">
        <v>19.229845786834904</v>
      </c>
    </row>
    <row r="27" spans="1:5" x14ac:dyDescent="0.25">
      <c r="A27" s="7" t="s">
        <v>79</v>
      </c>
      <c r="B27" s="63">
        <v>23091</v>
      </c>
      <c r="C27" s="60">
        <v>1341</v>
      </c>
      <c r="D27" s="63">
        <v>8046</v>
      </c>
      <c r="E27" s="65">
        <v>23.643676162068139</v>
      </c>
    </row>
    <row r="28" spans="1:5" x14ac:dyDescent="0.25">
      <c r="A28" s="7" t="s">
        <v>80</v>
      </c>
      <c r="B28" s="63">
        <v>24775</v>
      </c>
      <c r="C28" s="60">
        <v>1684</v>
      </c>
      <c r="D28" s="63">
        <v>10104</v>
      </c>
      <c r="E28" s="65">
        <v>18.827891765637396</v>
      </c>
    </row>
    <row r="29" spans="1:5" x14ac:dyDescent="0.25">
      <c r="A29" s="7" t="s">
        <v>81</v>
      </c>
      <c r="B29" s="63">
        <v>26609</v>
      </c>
      <c r="C29" s="60">
        <v>1834</v>
      </c>
      <c r="D29" s="63">
        <v>11004</v>
      </c>
      <c r="E29" s="65">
        <v>17.287987858960403</v>
      </c>
    </row>
    <row r="30" spans="1:5" x14ac:dyDescent="0.25">
      <c r="A30" s="7" t="s">
        <v>82</v>
      </c>
      <c r="B30" s="63">
        <v>29186</v>
      </c>
      <c r="C30" s="60">
        <v>2577</v>
      </c>
      <c r="D30" s="63">
        <v>15462</v>
      </c>
      <c r="E30" s="65">
        <v>12.303519492950477</v>
      </c>
    </row>
    <row r="31" spans="1:5" x14ac:dyDescent="0.25">
      <c r="A31" s="7" t="s">
        <v>83</v>
      </c>
      <c r="B31" s="63">
        <v>31894</v>
      </c>
      <c r="C31" s="60">
        <v>2708</v>
      </c>
      <c r="D31" s="63">
        <v>16248</v>
      </c>
      <c r="E31" s="65">
        <v>11.708334465780419</v>
      </c>
    </row>
  </sheetData>
  <customSheetViews>
    <customSheetView guid="{E594EE41-4917-4282-8F66-A5D93E449294}" showGridLines="0" state="hidden" topLeftCell="A10">
      <selection activeCell="D25" sqref="D25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19" workbookViewId="0">
      <selection activeCell="H29" sqref="H29"/>
    </sheetView>
  </sheetViews>
  <sheetFormatPr baseColWidth="10" defaultRowHeight="15" x14ac:dyDescent="0.25"/>
  <sheetData>
    <row r="1" spans="1:6" ht="15.75" thickBot="1" x14ac:dyDescent="0.3">
      <c r="A1" t="s">
        <v>133</v>
      </c>
    </row>
    <row r="2" spans="1:6" ht="24.75" thickBot="1" x14ac:dyDescent="0.3">
      <c r="A2" s="16" t="s">
        <v>27</v>
      </c>
      <c r="B2" s="80" t="s">
        <v>29</v>
      </c>
      <c r="C2" s="17" t="s">
        <v>30</v>
      </c>
      <c r="D2" s="95" t="s">
        <v>130</v>
      </c>
      <c r="E2" s="95" t="s">
        <v>131</v>
      </c>
      <c r="F2" s="96" t="s">
        <v>132</v>
      </c>
    </row>
    <row r="3" spans="1:6" x14ac:dyDescent="0.25">
      <c r="A3" s="55" t="s">
        <v>8</v>
      </c>
      <c r="B3" s="18">
        <v>9841</v>
      </c>
      <c r="C3" s="19">
        <v>2000</v>
      </c>
      <c r="D3" s="48">
        <f>+'Calculo indivdual'!$D$9</f>
        <v>904.32</v>
      </c>
      <c r="E3" s="13">
        <f>SUM(B3:D3)</f>
        <v>12745.32</v>
      </c>
      <c r="F3" s="102">
        <f>+E3/2</f>
        <v>6372.66</v>
      </c>
    </row>
    <row r="4" spans="1:6" x14ac:dyDescent="0.25">
      <c r="A4" s="56" t="s">
        <v>9</v>
      </c>
      <c r="B4" s="18">
        <v>10929</v>
      </c>
      <c r="C4" s="19">
        <v>2000</v>
      </c>
      <c r="D4" s="48">
        <f>+'Calculo indivdual'!$D$9</f>
        <v>904.32</v>
      </c>
      <c r="E4" s="13">
        <f t="shared" ref="E4:E11" si="0">SUM(B4:D4)</f>
        <v>13833.32</v>
      </c>
      <c r="F4" s="102">
        <f t="shared" ref="F4:F11" si="1">+E4/2</f>
        <v>6916.66</v>
      </c>
    </row>
    <row r="5" spans="1:6" x14ac:dyDescent="0.25">
      <c r="A5" s="56" t="s">
        <v>10</v>
      </c>
      <c r="B5" s="18">
        <v>11814</v>
      </c>
      <c r="C5" s="19">
        <v>2000</v>
      </c>
      <c r="D5" s="48">
        <f>+'Calculo indivdual'!$D$9</f>
        <v>904.32</v>
      </c>
      <c r="E5" s="13">
        <f t="shared" si="0"/>
        <v>14718.32</v>
      </c>
      <c r="F5" s="102">
        <f t="shared" si="1"/>
        <v>7359.16</v>
      </c>
    </row>
    <row r="6" spans="1:6" x14ac:dyDescent="0.25">
      <c r="A6" s="56" t="s">
        <v>11</v>
      </c>
      <c r="B6" s="18">
        <v>12860</v>
      </c>
      <c r="C6" s="19">
        <v>2000</v>
      </c>
      <c r="D6" s="48">
        <f>+'Calculo indivdual'!$D$9</f>
        <v>904.32</v>
      </c>
      <c r="E6" s="13">
        <f t="shared" si="0"/>
        <v>15764.32</v>
      </c>
      <c r="F6" s="102">
        <f t="shared" si="1"/>
        <v>7882.16</v>
      </c>
    </row>
    <row r="7" spans="1:6" x14ac:dyDescent="0.25">
      <c r="A7" s="56" t="s">
        <v>12</v>
      </c>
      <c r="B7" s="18">
        <v>14091</v>
      </c>
      <c r="C7" s="19">
        <v>2000</v>
      </c>
      <c r="D7" s="48">
        <f>+'Calculo indivdual'!$D$9</f>
        <v>904.32</v>
      </c>
      <c r="E7" s="13">
        <f t="shared" si="0"/>
        <v>16995.32</v>
      </c>
      <c r="F7" s="102">
        <f t="shared" si="1"/>
        <v>8497.66</v>
      </c>
    </row>
    <row r="8" spans="1:6" x14ac:dyDescent="0.25">
      <c r="A8" s="56" t="s">
        <v>13</v>
      </c>
      <c r="B8" s="18">
        <v>15704</v>
      </c>
      <c r="C8" s="19">
        <v>2000</v>
      </c>
      <c r="D8" s="48">
        <f>+'Calculo indivdual'!$D$9</f>
        <v>904.32</v>
      </c>
      <c r="E8" s="13">
        <f t="shared" si="0"/>
        <v>18608.32</v>
      </c>
      <c r="F8" s="102">
        <f t="shared" si="1"/>
        <v>9304.16</v>
      </c>
    </row>
    <row r="9" spans="1:6" x14ac:dyDescent="0.25">
      <c r="A9" s="56" t="s">
        <v>14</v>
      </c>
      <c r="B9" s="18">
        <v>17446</v>
      </c>
      <c r="C9" s="19">
        <v>2000</v>
      </c>
      <c r="D9" s="48">
        <f>+'Calculo indivdual'!$D$9</f>
        <v>904.32</v>
      </c>
      <c r="E9" s="13">
        <f t="shared" si="0"/>
        <v>20350.32</v>
      </c>
      <c r="F9" s="102">
        <f t="shared" si="1"/>
        <v>10175.16</v>
      </c>
    </row>
    <row r="10" spans="1:6" x14ac:dyDescent="0.25">
      <c r="A10" s="23" t="s">
        <v>28</v>
      </c>
      <c r="B10" s="18">
        <v>17803</v>
      </c>
      <c r="C10" s="19">
        <v>2000</v>
      </c>
      <c r="D10" s="48">
        <f>+'Calculo indivdual'!$D$9</f>
        <v>904.32</v>
      </c>
      <c r="E10" s="13">
        <f t="shared" si="0"/>
        <v>20707.32</v>
      </c>
      <c r="F10" s="102">
        <f t="shared" si="1"/>
        <v>10353.66</v>
      </c>
    </row>
    <row r="11" spans="1:6" ht="15.75" thickBot="1" x14ac:dyDescent="0.3">
      <c r="A11" s="57" t="s">
        <v>16</v>
      </c>
      <c r="B11" s="18">
        <v>18719</v>
      </c>
      <c r="C11" s="19">
        <v>2000</v>
      </c>
      <c r="D11" s="48">
        <f>+'Calculo indivdual'!$D$9</f>
        <v>904.32</v>
      </c>
      <c r="E11" s="13">
        <f t="shared" si="0"/>
        <v>21623.32</v>
      </c>
      <c r="F11" s="102">
        <f t="shared" si="1"/>
        <v>10811.66</v>
      </c>
    </row>
    <row r="14" spans="1:6" ht="15.75" thickBot="1" x14ac:dyDescent="0.3">
      <c r="A14" t="s">
        <v>134</v>
      </c>
    </row>
    <row r="15" spans="1:6" ht="25.5" thickBot="1" x14ac:dyDescent="0.3">
      <c r="A15" s="8" t="s">
        <v>27</v>
      </c>
      <c r="B15" s="9" t="s">
        <v>29</v>
      </c>
      <c r="C15" s="9" t="s">
        <v>30</v>
      </c>
      <c r="D15" s="95" t="s">
        <v>130</v>
      </c>
      <c r="E15" s="95" t="s">
        <v>131</v>
      </c>
      <c r="F15" s="96" t="s">
        <v>132</v>
      </c>
    </row>
    <row r="16" spans="1:6" ht="15.75" thickBot="1" x14ac:dyDescent="0.3">
      <c r="A16" s="10" t="s">
        <v>8</v>
      </c>
      <c r="B16" s="11">
        <v>12340</v>
      </c>
      <c r="C16" s="12">
        <v>2000</v>
      </c>
      <c r="D16" s="48">
        <f>+'Calculo indivdual'!$D$14</f>
        <v>1091.04</v>
      </c>
      <c r="E16" s="13">
        <f>SUM(B16:D16)</f>
        <v>15431.04</v>
      </c>
      <c r="F16" s="102">
        <f>+E16/2</f>
        <v>7715.52</v>
      </c>
    </row>
    <row r="17" spans="1:14" ht="15.75" thickBot="1" x14ac:dyDescent="0.3">
      <c r="A17" s="10" t="s">
        <v>9</v>
      </c>
      <c r="B17" s="11">
        <v>13673</v>
      </c>
      <c r="C17" s="12">
        <v>2000</v>
      </c>
      <c r="D17" s="48">
        <f>+'Calculo indivdual'!$D$14</f>
        <v>1091.04</v>
      </c>
      <c r="E17" s="13">
        <f t="shared" ref="E17:E24" si="2">SUM(B17:D17)</f>
        <v>16764.04</v>
      </c>
      <c r="F17" s="102">
        <f t="shared" ref="F17:F24" si="3">+E17/2</f>
        <v>8382.02</v>
      </c>
    </row>
    <row r="18" spans="1:14" ht="15.75" thickBot="1" x14ac:dyDescent="0.3">
      <c r="A18" s="10" t="s">
        <v>10</v>
      </c>
      <c r="B18" s="11">
        <v>14757</v>
      </c>
      <c r="C18" s="12">
        <v>2000</v>
      </c>
      <c r="D18" s="48">
        <f>+'Calculo indivdual'!$D$14</f>
        <v>1091.04</v>
      </c>
      <c r="E18" s="13">
        <f t="shared" si="2"/>
        <v>17848.04</v>
      </c>
      <c r="F18" s="102">
        <f t="shared" si="3"/>
        <v>8924.02</v>
      </c>
    </row>
    <row r="19" spans="1:14" ht="15.75" thickBot="1" x14ac:dyDescent="0.3">
      <c r="A19" s="10" t="s">
        <v>11</v>
      </c>
      <c r="B19" s="11">
        <v>16082</v>
      </c>
      <c r="C19" s="12">
        <v>2000</v>
      </c>
      <c r="D19" s="48">
        <f>+'Calculo indivdual'!$D$14</f>
        <v>1091.04</v>
      </c>
      <c r="E19" s="13">
        <f t="shared" si="2"/>
        <v>19173.04</v>
      </c>
      <c r="F19" s="102">
        <f t="shared" si="3"/>
        <v>9586.52</v>
      </c>
    </row>
    <row r="20" spans="1:14" ht="15.75" thickBot="1" x14ac:dyDescent="0.3">
      <c r="A20" s="10" t="s">
        <v>12</v>
      </c>
      <c r="B20" s="11">
        <v>17576</v>
      </c>
      <c r="C20" s="12">
        <v>2000</v>
      </c>
      <c r="D20" s="48">
        <f>+'Calculo indivdual'!$D$14</f>
        <v>1091.04</v>
      </c>
      <c r="E20" s="13">
        <f t="shared" si="2"/>
        <v>20667.04</v>
      </c>
      <c r="F20" s="102">
        <f t="shared" si="3"/>
        <v>10333.52</v>
      </c>
    </row>
    <row r="21" spans="1:14" ht="15.75" thickBot="1" x14ac:dyDescent="0.3">
      <c r="A21" s="10" t="s">
        <v>13</v>
      </c>
      <c r="B21" s="11">
        <v>19575</v>
      </c>
      <c r="C21" s="12">
        <v>2000</v>
      </c>
      <c r="D21" s="48">
        <f>+'Calculo indivdual'!$D$14</f>
        <v>1091.04</v>
      </c>
      <c r="E21" s="13">
        <f t="shared" si="2"/>
        <v>22666.04</v>
      </c>
      <c r="F21" s="102">
        <f t="shared" si="3"/>
        <v>11333.02</v>
      </c>
    </row>
    <row r="22" spans="1:14" ht="15.75" thickBot="1" x14ac:dyDescent="0.3">
      <c r="A22" s="10" t="s">
        <v>14</v>
      </c>
      <c r="B22" s="11">
        <v>21739</v>
      </c>
      <c r="C22" s="12">
        <v>2000</v>
      </c>
      <c r="D22" s="48">
        <f>+'Calculo indivdual'!$D$14</f>
        <v>1091.04</v>
      </c>
      <c r="E22" s="13">
        <f t="shared" si="2"/>
        <v>24830.04</v>
      </c>
      <c r="F22" s="102">
        <f t="shared" si="3"/>
        <v>12415.02</v>
      </c>
    </row>
    <row r="23" spans="1:14" ht="15.75" thickBot="1" x14ac:dyDescent="0.3">
      <c r="A23" s="10" t="s">
        <v>28</v>
      </c>
      <c r="B23" s="11">
        <v>22138</v>
      </c>
      <c r="C23" s="12">
        <v>2000</v>
      </c>
      <c r="D23" s="48">
        <f>+'Calculo indivdual'!$D$14</f>
        <v>1091.04</v>
      </c>
      <c r="E23" s="13">
        <f t="shared" si="2"/>
        <v>25229.040000000001</v>
      </c>
      <c r="F23" s="102">
        <f t="shared" si="3"/>
        <v>12614.52</v>
      </c>
    </row>
    <row r="24" spans="1:14" ht="15.75" thickBot="1" x14ac:dyDescent="0.3">
      <c r="A24" s="10" t="s">
        <v>16</v>
      </c>
      <c r="B24" s="11">
        <v>23257</v>
      </c>
      <c r="C24" s="12">
        <v>2000</v>
      </c>
      <c r="D24" s="48">
        <f>+'Calculo indivdual'!$D$14</f>
        <v>1091.04</v>
      </c>
      <c r="E24" s="13">
        <f t="shared" si="2"/>
        <v>26348.04</v>
      </c>
      <c r="F24" s="102">
        <f t="shared" si="3"/>
        <v>13174.02</v>
      </c>
    </row>
    <row r="26" spans="1:14" x14ac:dyDescent="0.25">
      <c r="A26" s="177" t="s">
        <v>144</v>
      </c>
    </row>
    <row r="27" spans="1:14" ht="15.75" thickBot="1" x14ac:dyDescent="0.3">
      <c r="A27" s="177" t="s">
        <v>59</v>
      </c>
    </row>
    <row r="28" spans="1:14" ht="36.75" thickBot="1" x14ac:dyDescent="0.3">
      <c r="A28" s="8" t="s">
        <v>27</v>
      </c>
      <c r="B28" s="165" t="s">
        <v>29</v>
      </c>
      <c r="C28" s="164" t="s">
        <v>30</v>
      </c>
      <c r="D28" s="165" t="s">
        <v>6</v>
      </c>
      <c r="E28" s="164" t="s">
        <v>39</v>
      </c>
      <c r="F28" s="164" t="s">
        <v>40</v>
      </c>
      <c r="G28" s="164" t="s">
        <v>41</v>
      </c>
      <c r="H28" s="176" t="s">
        <v>152</v>
      </c>
      <c r="I28" s="176" t="s">
        <v>143</v>
      </c>
      <c r="J28" s="176" t="s">
        <v>146</v>
      </c>
      <c r="K28" s="182">
        <v>0.5</v>
      </c>
      <c r="L28" s="182">
        <v>0.7</v>
      </c>
      <c r="M28" s="182">
        <v>1</v>
      </c>
      <c r="N28" s="182">
        <v>1.26</v>
      </c>
    </row>
    <row r="29" spans="1:14" ht="15.75" thickBot="1" x14ac:dyDescent="0.3">
      <c r="A29" s="10" t="s">
        <v>8</v>
      </c>
      <c r="B29" s="160">
        <v>9841</v>
      </c>
      <c r="C29" s="161">
        <v>2000</v>
      </c>
      <c r="D29" s="162">
        <v>1184</v>
      </c>
      <c r="E29" s="160">
        <v>882</v>
      </c>
      <c r="F29" s="163">
        <v>140</v>
      </c>
      <c r="G29" s="154">
        <v>3123.8</v>
      </c>
      <c r="H29" s="7">
        <f>+'Propuesta Salarial'!$C$49*'Calculo indivdual'!$B$4</f>
        <v>904.32</v>
      </c>
      <c r="I29" s="13">
        <f>SUM(B29:H29)</f>
        <v>18075.12</v>
      </c>
      <c r="J29" s="178">
        <f>+I29/160</f>
        <v>112.9695</v>
      </c>
      <c r="K29" s="178">
        <f>+J29*1.5</f>
        <v>169.45425</v>
      </c>
      <c r="L29" s="178">
        <f>+J29*(1.1334*1.5)</f>
        <v>192.05944694999999</v>
      </c>
      <c r="M29" s="178">
        <f t="shared" ref="M29:M37" si="4">+J29*2</f>
        <v>225.93899999999999</v>
      </c>
      <c r="N29" s="178">
        <f t="shared" ref="N29:N37" si="5">+J29*2.26</f>
        <v>255.31106999999997</v>
      </c>
    </row>
    <row r="30" spans="1:14" ht="15.75" thickBot="1" x14ac:dyDescent="0.3">
      <c r="A30" s="10" t="s">
        <v>9</v>
      </c>
      <c r="B30" s="18">
        <v>10929</v>
      </c>
      <c r="C30" s="19">
        <v>2000</v>
      </c>
      <c r="D30" s="20">
        <v>1493</v>
      </c>
      <c r="E30" s="18">
        <v>1017</v>
      </c>
      <c r="F30" s="21">
        <v>140</v>
      </c>
      <c r="G30" s="13">
        <v>3430.2000000000003</v>
      </c>
      <c r="H30" s="7">
        <f>+'Propuesta Salarial'!$C$49*'Calculo indivdual'!$B$4</f>
        <v>904.32</v>
      </c>
      <c r="I30" s="13">
        <f t="shared" ref="I30:I37" si="6">SUM(B30:H30)</f>
        <v>19913.52</v>
      </c>
      <c r="J30" s="178">
        <f t="shared" ref="J30:J37" si="7">+I30/160</f>
        <v>124.45950000000001</v>
      </c>
      <c r="K30" s="178">
        <f t="shared" ref="K30:K37" si="8">+J30*1.5</f>
        <v>186.68925000000002</v>
      </c>
      <c r="L30" s="178">
        <f t="shared" ref="L30:L37" si="9">+J30*(1.1334*1.5)</f>
        <v>211.59359595000001</v>
      </c>
      <c r="M30" s="178">
        <f t="shared" si="4"/>
        <v>248.91900000000001</v>
      </c>
      <c r="N30" s="178">
        <f t="shared" si="5"/>
        <v>281.27846999999997</v>
      </c>
    </row>
    <row r="31" spans="1:14" ht="15.75" thickBot="1" x14ac:dyDescent="0.3">
      <c r="A31" s="10" t="s">
        <v>10</v>
      </c>
      <c r="B31" s="18">
        <v>11814</v>
      </c>
      <c r="C31" s="19">
        <v>2000</v>
      </c>
      <c r="D31" s="20">
        <v>1741</v>
      </c>
      <c r="E31" s="18">
        <v>1127</v>
      </c>
      <c r="F31" s="21">
        <v>140</v>
      </c>
      <c r="G31" s="13">
        <v>3678.8</v>
      </c>
      <c r="H31" s="7">
        <f>+'Propuesta Salarial'!$C$49*'Calculo indivdual'!$B$4</f>
        <v>904.32</v>
      </c>
      <c r="I31" s="13">
        <f t="shared" si="6"/>
        <v>21405.119999999999</v>
      </c>
      <c r="J31" s="178">
        <f t="shared" si="7"/>
        <v>133.78199999999998</v>
      </c>
      <c r="K31" s="178">
        <f t="shared" si="8"/>
        <v>200.67299999999997</v>
      </c>
      <c r="L31" s="178">
        <f t="shared" si="9"/>
        <v>227.44277819999996</v>
      </c>
      <c r="M31" s="178">
        <f t="shared" si="4"/>
        <v>267.56399999999996</v>
      </c>
      <c r="N31" s="178">
        <f t="shared" si="5"/>
        <v>302.34731999999991</v>
      </c>
    </row>
    <row r="32" spans="1:14" ht="15.75" thickBot="1" x14ac:dyDescent="0.3">
      <c r="A32" s="10" t="s">
        <v>11</v>
      </c>
      <c r="B32" s="18">
        <v>12860</v>
      </c>
      <c r="C32" s="19">
        <v>2000</v>
      </c>
      <c r="D32" s="20">
        <v>2284</v>
      </c>
      <c r="E32" s="18">
        <v>1281</v>
      </c>
      <c r="F32" s="21">
        <v>140</v>
      </c>
      <c r="G32" s="13">
        <v>4027.4</v>
      </c>
      <c r="H32" s="7">
        <f>+'Propuesta Salarial'!$C$49*'Calculo indivdual'!$B$4</f>
        <v>904.32</v>
      </c>
      <c r="I32" s="13">
        <f t="shared" si="6"/>
        <v>23496.720000000001</v>
      </c>
      <c r="J32" s="178">
        <f t="shared" si="7"/>
        <v>146.8545</v>
      </c>
      <c r="K32" s="178">
        <f t="shared" si="8"/>
        <v>220.28174999999999</v>
      </c>
      <c r="L32" s="178">
        <f t="shared" si="9"/>
        <v>249.66733545</v>
      </c>
      <c r="M32" s="178">
        <f t="shared" si="4"/>
        <v>293.709</v>
      </c>
      <c r="N32" s="178">
        <f t="shared" si="5"/>
        <v>331.89116999999999</v>
      </c>
    </row>
    <row r="33" spans="1:14" ht="15.75" thickBot="1" x14ac:dyDescent="0.3">
      <c r="A33" s="10" t="s">
        <v>12</v>
      </c>
      <c r="B33" s="18">
        <v>14091</v>
      </c>
      <c r="C33" s="19">
        <v>2000</v>
      </c>
      <c r="D33" s="20">
        <v>2552</v>
      </c>
      <c r="E33" s="18">
        <v>1427</v>
      </c>
      <c r="F33" s="21">
        <v>140</v>
      </c>
      <c r="G33" s="13">
        <v>4356.4000000000005</v>
      </c>
      <c r="H33" s="7">
        <f>+'Propuesta Salarial'!$C$49*'Calculo indivdual'!$B$4</f>
        <v>904.32</v>
      </c>
      <c r="I33" s="13">
        <f t="shared" si="6"/>
        <v>25470.720000000001</v>
      </c>
      <c r="J33" s="178">
        <f t="shared" si="7"/>
        <v>159.19200000000001</v>
      </c>
      <c r="K33" s="178">
        <f t="shared" si="8"/>
        <v>238.78800000000001</v>
      </c>
      <c r="L33" s="178">
        <f t="shared" si="9"/>
        <v>270.64231920000003</v>
      </c>
      <c r="M33" s="178">
        <f t="shared" si="4"/>
        <v>318.38400000000001</v>
      </c>
      <c r="N33" s="178">
        <f t="shared" si="5"/>
        <v>359.77391999999998</v>
      </c>
    </row>
    <row r="34" spans="1:14" ht="15.75" thickBot="1" x14ac:dyDescent="0.3">
      <c r="A34" s="10" t="s">
        <v>13</v>
      </c>
      <c r="B34" s="18">
        <v>15704</v>
      </c>
      <c r="C34" s="19">
        <v>2000</v>
      </c>
      <c r="D34" s="20">
        <v>3140</v>
      </c>
      <c r="E34" s="18">
        <v>1640</v>
      </c>
      <c r="F34" s="21">
        <v>220</v>
      </c>
      <c r="G34" s="13">
        <v>4839.2</v>
      </c>
      <c r="H34" s="7">
        <f>+'Propuesta Salarial'!$C$49*'Calculo indivdual'!$B$4</f>
        <v>904.32</v>
      </c>
      <c r="I34" s="13">
        <f t="shared" si="6"/>
        <v>28447.52</v>
      </c>
      <c r="J34" s="178">
        <f t="shared" si="7"/>
        <v>177.797</v>
      </c>
      <c r="K34" s="178">
        <f t="shared" si="8"/>
        <v>266.69549999999998</v>
      </c>
      <c r="L34" s="178">
        <f t="shared" si="9"/>
        <v>302.27267969999997</v>
      </c>
      <c r="M34" s="178">
        <f t="shared" si="4"/>
        <v>355.59399999999999</v>
      </c>
      <c r="N34" s="178">
        <f t="shared" si="5"/>
        <v>401.82121999999998</v>
      </c>
    </row>
    <row r="35" spans="1:14" ht="15.75" thickBot="1" x14ac:dyDescent="0.3">
      <c r="A35" s="10" t="s">
        <v>14</v>
      </c>
      <c r="B35" s="18">
        <v>17446</v>
      </c>
      <c r="C35" s="19">
        <v>2000</v>
      </c>
      <c r="D35" s="20">
        <v>3798</v>
      </c>
      <c r="E35" s="18">
        <v>1873</v>
      </c>
      <c r="F35" s="22">
        <v>220</v>
      </c>
      <c r="G35" s="13">
        <v>5365.8</v>
      </c>
      <c r="H35" s="7">
        <f>+'Propuesta Salarial'!$C$49*'Calculo indivdual'!$B$4</f>
        <v>904.32</v>
      </c>
      <c r="I35" s="13">
        <f t="shared" si="6"/>
        <v>31607.119999999999</v>
      </c>
      <c r="J35" s="178">
        <f t="shared" si="7"/>
        <v>197.5445</v>
      </c>
      <c r="K35" s="178">
        <f t="shared" si="8"/>
        <v>296.31675000000001</v>
      </c>
      <c r="L35" s="178">
        <f t="shared" si="9"/>
        <v>335.84540444999999</v>
      </c>
      <c r="M35" s="178">
        <f t="shared" si="4"/>
        <v>395.089</v>
      </c>
      <c r="N35" s="178">
        <f t="shared" si="5"/>
        <v>446.45056999999997</v>
      </c>
    </row>
    <row r="36" spans="1:14" ht="15.75" thickBot="1" x14ac:dyDescent="0.3">
      <c r="A36" s="10" t="s">
        <v>28</v>
      </c>
      <c r="B36" s="18">
        <v>17803</v>
      </c>
      <c r="C36" s="19">
        <v>2000</v>
      </c>
      <c r="D36" s="24">
        <v>3688</v>
      </c>
      <c r="E36" s="18">
        <v>2397.2899999999972</v>
      </c>
      <c r="F36" s="21">
        <v>220</v>
      </c>
      <c r="G36" s="13">
        <v>5520.058</v>
      </c>
      <c r="H36" s="7">
        <f>+'Propuesta Salarial'!$C$49*'Calculo indivdual'!$B$4</f>
        <v>904.32</v>
      </c>
      <c r="I36" s="13">
        <f t="shared" si="6"/>
        <v>32532.667999999998</v>
      </c>
      <c r="J36" s="178">
        <f t="shared" si="7"/>
        <v>203.32917499999999</v>
      </c>
      <c r="K36" s="178">
        <f t="shared" si="8"/>
        <v>304.9937625</v>
      </c>
      <c r="L36" s="178">
        <f t="shared" si="9"/>
        <v>345.67993041749997</v>
      </c>
      <c r="M36" s="178">
        <f t="shared" si="4"/>
        <v>406.65834999999998</v>
      </c>
      <c r="N36" s="178">
        <f t="shared" si="5"/>
        <v>459.52393549999994</v>
      </c>
    </row>
    <row r="37" spans="1:14" ht="15.75" thickBot="1" x14ac:dyDescent="0.3">
      <c r="A37" s="10" t="s">
        <v>16</v>
      </c>
      <c r="B37" s="18">
        <v>18719</v>
      </c>
      <c r="C37" s="19">
        <v>2000</v>
      </c>
      <c r="D37" s="20">
        <v>3922</v>
      </c>
      <c r="E37" s="18">
        <v>2009</v>
      </c>
      <c r="F37" s="21">
        <v>220</v>
      </c>
      <c r="G37" s="13">
        <v>5672.4000000000005</v>
      </c>
      <c r="H37" s="7">
        <f>+'Propuesta Salarial'!$C$49*'Calculo indivdual'!$B$4</f>
        <v>904.32</v>
      </c>
      <c r="I37" s="13">
        <f t="shared" si="6"/>
        <v>33446.720000000001</v>
      </c>
      <c r="J37" s="178">
        <f t="shared" si="7"/>
        <v>209.042</v>
      </c>
      <c r="K37" s="178">
        <f t="shared" si="8"/>
        <v>313.56299999999999</v>
      </c>
      <c r="L37" s="178">
        <f t="shared" si="9"/>
        <v>355.39230420000001</v>
      </c>
      <c r="M37" s="178">
        <f t="shared" si="4"/>
        <v>418.084</v>
      </c>
      <c r="N37" s="178">
        <f t="shared" si="5"/>
        <v>472.43491999999998</v>
      </c>
    </row>
    <row r="39" spans="1:14" x14ac:dyDescent="0.25">
      <c r="A39" s="177" t="s">
        <v>144</v>
      </c>
    </row>
    <row r="40" spans="1:14" x14ac:dyDescent="0.25">
      <c r="A40" s="177" t="s">
        <v>145</v>
      </c>
    </row>
    <row r="41" spans="1:14" ht="36" x14ac:dyDescent="0.25">
      <c r="A41" s="157" t="s">
        <v>27</v>
      </c>
      <c r="B41" s="157" t="s">
        <v>29</v>
      </c>
      <c r="C41" s="157" t="s">
        <v>30</v>
      </c>
      <c r="D41" s="157" t="s">
        <v>106</v>
      </c>
      <c r="E41" s="157" t="s">
        <v>45</v>
      </c>
      <c r="F41" s="158" t="s">
        <v>46</v>
      </c>
      <c r="G41" s="179" t="s">
        <v>31</v>
      </c>
      <c r="H41" s="176" t="s">
        <v>152</v>
      </c>
      <c r="I41" s="181" t="s">
        <v>143</v>
      </c>
      <c r="J41" s="181" t="s">
        <v>146</v>
      </c>
      <c r="K41" s="182">
        <v>0.5</v>
      </c>
      <c r="L41" s="182">
        <v>0.7</v>
      </c>
      <c r="M41" s="182">
        <v>1</v>
      </c>
      <c r="N41" s="182">
        <v>1.26</v>
      </c>
    </row>
    <row r="42" spans="1:14" ht="15.75" thickBot="1" x14ac:dyDescent="0.3">
      <c r="A42" s="10" t="s">
        <v>8</v>
      </c>
      <c r="B42" s="11">
        <v>12340</v>
      </c>
      <c r="C42" s="12">
        <v>2000</v>
      </c>
      <c r="D42" s="151">
        <v>1184</v>
      </c>
      <c r="E42" s="152">
        <v>882</v>
      </c>
      <c r="F42" s="153">
        <v>140</v>
      </c>
      <c r="G42" s="180">
        <v>1843</v>
      </c>
      <c r="H42" s="7">
        <f>+'Propuesta Salarial'!$D$49*'Calculo indivdual'!$B$4</f>
        <v>1091.04</v>
      </c>
      <c r="I42" s="13">
        <f>SUM(B42:H42)</f>
        <v>19480.04</v>
      </c>
      <c r="J42" s="178">
        <f t="shared" ref="J42:J50" si="10">+I42/160</f>
        <v>121.75025000000001</v>
      </c>
      <c r="K42" s="178">
        <f>+J42*1.5</f>
        <v>182.62537500000002</v>
      </c>
      <c r="L42" s="178">
        <f>+J42*(1.1334*1.5)</f>
        <v>206.98760002500001</v>
      </c>
      <c r="M42" s="178">
        <f t="shared" ref="M42:M50" si="11">+J42*2</f>
        <v>243.50050000000002</v>
      </c>
      <c r="N42" s="178">
        <f t="shared" ref="N42:N50" si="12">+J42*2.26</f>
        <v>275.15556499999997</v>
      </c>
    </row>
    <row r="43" spans="1:14" ht="15.75" thickBot="1" x14ac:dyDescent="0.3">
      <c r="A43" s="10" t="s">
        <v>9</v>
      </c>
      <c r="B43" s="11">
        <v>13673</v>
      </c>
      <c r="C43" s="12">
        <v>2000</v>
      </c>
      <c r="D43" s="28">
        <v>1493</v>
      </c>
      <c r="E43" s="29">
        <v>1017</v>
      </c>
      <c r="F43" s="25">
        <v>140</v>
      </c>
      <c r="G43" s="180">
        <v>2024</v>
      </c>
      <c r="H43" s="7">
        <f>+'Propuesta Salarial'!$D$49*'Calculo indivdual'!$B$4</f>
        <v>1091.04</v>
      </c>
      <c r="I43" s="13">
        <f t="shared" ref="I43:I50" si="13">SUM(B43:H43)</f>
        <v>21438.04</v>
      </c>
      <c r="J43" s="178">
        <f t="shared" si="10"/>
        <v>133.98775000000001</v>
      </c>
      <c r="K43" s="178">
        <f t="shared" ref="K43:K50" si="14">+J43*1.5</f>
        <v>200.98162500000001</v>
      </c>
      <c r="L43" s="178">
        <f t="shared" ref="L43:L50" si="15">+J43*(1.1334*1.5)</f>
        <v>227.79257377499999</v>
      </c>
      <c r="M43" s="178">
        <f t="shared" si="11"/>
        <v>267.97550000000001</v>
      </c>
      <c r="N43" s="178">
        <f t="shared" si="12"/>
        <v>302.81231499999996</v>
      </c>
    </row>
    <row r="44" spans="1:14" ht="15.75" thickBot="1" x14ac:dyDescent="0.3">
      <c r="A44" s="10" t="s">
        <v>10</v>
      </c>
      <c r="B44" s="11">
        <v>14757</v>
      </c>
      <c r="C44" s="12">
        <v>2000</v>
      </c>
      <c r="D44" s="28">
        <v>1741</v>
      </c>
      <c r="E44" s="29">
        <v>1127</v>
      </c>
      <c r="F44" s="25">
        <v>140</v>
      </c>
      <c r="G44" s="180">
        <v>2171</v>
      </c>
      <c r="H44" s="7">
        <f>+'Propuesta Salarial'!$D$49*'Calculo indivdual'!$B$4</f>
        <v>1091.04</v>
      </c>
      <c r="I44" s="13">
        <f t="shared" si="13"/>
        <v>23027.040000000001</v>
      </c>
      <c r="J44" s="178">
        <f t="shared" si="10"/>
        <v>143.91900000000001</v>
      </c>
      <c r="K44" s="178">
        <f t="shared" si="14"/>
        <v>215.87850000000003</v>
      </c>
      <c r="L44" s="178">
        <f t="shared" si="15"/>
        <v>244.67669190000001</v>
      </c>
      <c r="M44" s="178">
        <f t="shared" si="11"/>
        <v>287.83800000000002</v>
      </c>
      <c r="N44" s="178">
        <f t="shared" si="12"/>
        <v>325.25693999999999</v>
      </c>
    </row>
    <row r="45" spans="1:14" ht="15.75" thickBot="1" x14ac:dyDescent="0.3">
      <c r="A45" s="10" t="s">
        <v>11</v>
      </c>
      <c r="B45" s="11">
        <v>16082</v>
      </c>
      <c r="C45" s="12">
        <v>2000</v>
      </c>
      <c r="D45" s="28">
        <v>2284</v>
      </c>
      <c r="E45" s="29">
        <v>1281</v>
      </c>
      <c r="F45" s="25">
        <v>140</v>
      </c>
      <c r="G45" s="180">
        <v>2376</v>
      </c>
      <c r="H45" s="7">
        <f>+'Propuesta Salarial'!$D$49*'Calculo indivdual'!$B$4</f>
        <v>1091.04</v>
      </c>
      <c r="I45" s="13">
        <f t="shared" si="13"/>
        <v>25254.04</v>
      </c>
      <c r="J45" s="178">
        <f t="shared" si="10"/>
        <v>157.83775</v>
      </c>
      <c r="K45" s="178">
        <f t="shared" si="14"/>
        <v>236.75662499999999</v>
      </c>
      <c r="L45" s="178">
        <f t="shared" si="15"/>
        <v>268.33995877500001</v>
      </c>
      <c r="M45" s="178">
        <f t="shared" si="11"/>
        <v>315.6755</v>
      </c>
      <c r="N45" s="178">
        <f t="shared" si="12"/>
        <v>356.71331499999997</v>
      </c>
    </row>
    <row r="46" spans="1:14" ht="15.75" thickBot="1" x14ac:dyDescent="0.3">
      <c r="A46" s="10" t="s">
        <v>12</v>
      </c>
      <c r="B46" s="11">
        <v>17576</v>
      </c>
      <c r="C46" s="12">
        <v>2000</v>
      </c>
      <c r="D46" s="28">
        <v>2552</v>
      </c>
      <c r="E46" s="29">
        <v>1427</v>
      </c>
      <c r="F46" s="25">
        <v>140</v>
      </c>
      <c r="G46" s="180">
        <v>2570</v>
      </c>
      <c r="H46" s="7">
        <f>+'Propuesta Salarial'!$D$49*'Calculo indivdual'!$B$4</f>
        <v>1091.04</v>
      </c>
      <c r="I46" s="13">
        <f t="shared" si="13"/>
        <v>27356.04</v>
      </c>
      <c r="J46" s="178">
        <f t="shared" si="10"/>
        <v>170.97525000000002</v>
      </c>
      <c r="K46" s="178">
        <f t="shared" si="14"/>
        <v>256.46287500000005</v>
      </c>
      <c r="L46" s="178">
        <f t="shared" si="15"/>
        <v>290.67502252500003</v>
      </c>
      <c r="M46" s="178">
        <f t="shared" si="11"/>
        <v>341.95050000000003</v>
      </c>
      <c r="N46" s="178">
        <f t="shared" si="12"/>
        <v>386.404065</v>
      </c>
    </row>
    <row r="47" spans="1:14" ht="15.75" thickBot="1" x14ac:dyDescent="0.3">
      <c r="A47" s="10" t="s">
        <v>13</v>
      </c>
      <c r="B47" s="11">
        <v>19575</v>
      </c>
      <c r="C47" s="12">
        <v>2000</v>
      </c>
      <c r="D47" s="28">
        <v>3140</v>
      </c>
      <c r="E47" s="29">
        <v>1640</v>
      </c>
      <c r="F47" s="25">
        <v>220</v>
      </c>
      <c r="G47" s="180">
        <v>2855</v>
      </c>
      <c r="H47" s="7">
        <f>+'Propuesta Salarial'!$D$49*'Calculo indivdual'!$B$4</f>
        <v>1091.04</v>
      </c>
      <c r="I47" s="13">
        <f t="shared" si="13"/>
        <v>30521.040000000001</v>
      </c>
      <c r="J47" s="178">
        <f t="shared" si="10"/>
        <v>190.75650000000002</v>
      </c>
      <c r="K47" s="178">
        <f t="shared" si="14"/>
        <v>286.13475000000005</v>
      </c>
      <c r="L47" s="178">
        <f t="shared" si="15"/>
        <v>324.30512565000004</v>
      </c>
      <c r="M47" s="178">
        <f t="shared" si="11"/>
        <v>381.51300000000003</v>
      </c>
      <c r="N47" s="178">
        <f t="shared" si="12"/>
        <v>431.10969</v>
      </c>
    </row>
    <row r="48" spans="1:14" ht="15.75" thickBot="1" x14ac:dyDescent="0.3">
      <c r="A48" s="10" t="s">
        <v>14</v>
      </c>
      <c r="B48" s="11">
        <v>21739</v>
      </c>
      <c r="C48" s="12">
        <v>2000</v>
      </c>
      <c r="D48" s="28">
        <v>3798</v>
      </c>
      <c r="E48" s="29">
        <v>1873</v>
      </c>
      <c r="F48" s="25">
        <v>220</v>
      </c>
      <c r="G48" s="180">
        <v>3166</v>
      </c>
      <c r="H48" s="7">
        <f>+'Propuesta Salarial'!$D$49*'Calculo indivdual'!$B$4</f>
        <v>1091.04</v>
      </c>
      <c r="I48" s="13">
        <f t="shared" si="13"/>
        <v>33887.040000000001</v>
      </c>
      <c r="J48" s="178">
        <f t="shared" si="10"/>
        <v>211.79400000000001</v>
      </c>
      <c r="K48" s="178">
        <f t="shared" si="14"/>
        <v>317.69100000000003</v>
      </c>
      <c r="L48" s="178">
        <f t="shared" si="15"/>
        <v>360.0709794</v>
      </c>
      <c r="M48" s="178">
        <f t="shared" si="11"/>
        <v>423.58800000000002</v>
      </c>
      <c r="N48" s="178">
        <f t="shared" si="12"/>
        <v>478.65443999999997</v>
      </c>
    </row>
    <row r="49" spans="1:14" ht="15.75" thickBot="1" x14ac:dyDescent="0.3">
      <c r="A49" s="10" t="s">
        <v>28</v>
      </c>
      <c r="B49" s="11">
        <v>22138</v>
      </c>
      <c r="C49" s="12">
        <v>2000</v>
      </c>
      <c r="D49" s="28">
        <v>3688</v>
      </c>
      <c r="E49" s="29">
        <v>1897</v>
      </c>
      <c r="F49" s="25">
        <v>220</v>
      </c>
      <c r="G49" s="180">
        <v>3198</v>
      </c>
      <c r="H49" s="7">
        <f>+'Propuesta Salarial'!$D$49*'Calculo indivdual'!$B$4</f>
        <v>1091.04</v>
      </c>
      <c r="I49" s="13">
        <f t="shared" si="13"/>
        <v>34232.04</v>
      </c>
      <c r="J49" s="178">
        <f t="shared" si="10"/>
        <v>213.95025000000001</v>
      </c>
      <c r="K49" s="178">
        <f t="shared" si="14"/>
        <v>320.92537500000003</v>
      </c>
      <c r="L49" s="178">
        <f t="shared" si="15"/>
        <v>363.73682002499999</v>
      </c>
      <c r="M49" s="178">
        <f t="shared" si="11"/>
        <v>427.90050000000002</v>
      </c>
      <c r="N49" s="178">
        <f t="shared" si="12"/>
        <v>483.52756499999998</v>
      </c>
    </row>
    <row r="50" spans="1:14" ht="15.75" thickBot="1" x14ac:dyDescent="0.3">
      <c r="A50" s="10" t="s">
        <v>16</v>
      </c>
      <c r="B50" s="11">
        <v>23257</v>
      </c>
      <c r="C50" s="12">
        <v>2000</v>
      </c>
      <c r="D50" s="83">
        <v>3922</v>
      </c>
      <c r="E50" s="84">
        <v>2009</v>
      </c>
      <c r="F50" s="85">
        <v>220</v>
      </c>
      <c r="G50" s="180">
        <v>3346</v>
      </c>
      <c r="H50" s="7">
        <f>+'Propuesta Salarial'!$D$49*'Calculo indivdual'!$B$4</f>
        <v>1091.04</v>
      </c>
      <c r="I50" s="13">
        <f t="shared" si="13"/>
        <v>35845.040000000001</v>
      </c>
      <c r="J50" s="178">
        <f t="shared" si="10"/>
        <v>224.03149999999999</v>
      </c>
      <c r="K50" s="178">
        <f t="shared" si="14"/>
        <v>336.04724999999996</v>
      </c>
      <c r="L50" s="178">
        <f t="shared" si="15"/>
        <v>380.87595314999999</v>
      </c>
      <c r="M50" s="178">
        <f t="shared" si="11"/>
        <v>448.06299999999999</v>
      </c>
      <c r="N50" s="178">
        <f t="shared" si="12"/>
        <v>506.31118999999995</v>
      </c>
    </row>
  </sheetData>
  <customSheetViews>
    <customSheetView guid="{E594EE41-4917-4282-8F66-A5D93E449294}" topLeftCell="A38">
      <selection activeCell="L42" sqref="L4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F15" sqref="F15"/>
    </sheetView>
  </sheetViews>
  <sheetFormatPr baseColWidth="10" defaultRowHeight="15" x14ac:dyDescent="0.25"/>
  <cols>
    <col min="1" max="1" width="24.5703125" customWidth="1"/>
  </cols>
  <sheetData>
    <row r="1" spans="1:3" ht="48" thickBot="1" x14ac:dyDescent="0.3">
      <c r="A1" s="261" t="s">
        <v>34</v>
      </c>
      <c r="B1" s="262" t="s">
        <v>173</v>
      </c>
      <c r="C1" s="263" t="s">
        <v>176</v>
      </c>
    </row>
    <row r="2" spans="1:3" ht="17.25" thickBot="1" x14ac:dyDescent="0.35">
      <c r="A2" s="264" t="s">
        <v>179</v>
      </c>
      <c r="B2" s="265">
        <v>894</v>
      </c>
      <c r="C2" s="266">
        <v>953</v>
      </c>
    </row>
    <row r="3" spans="1:3" ht="16.5" thickBot="1" x14ac:dyDescent="0.3">
      <c r="A3" s="267" t="s">
        <v>180</v>
      </c>
      <c r="B3" s="268">
        <v>803</v>
      </c>
      <c r="C3" s="269">
        <v>863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Calculo indivdual</vt:lpstr>
      <vt:lpstr>Propuesta Salarial</vt:lpstr>
      <vt:lpstr>Dia del Telefonico</vt:lpstr>
      <vt:lpstr>Salarios Jun 15</vt:lpstr>
      <vt:lpstr>Masa Salarial</vt:lpstr>
      <vt:lpstr>Bono</vt:lpstr>
      <vt:lpstr>Hoja1</vt:lpstr>
    </vt:vector>
  </TitlesOfParts>
  <Company>Telecom Argentina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u157495</dc:creator>
  <cp:lastModifiedBy>Villagra Dante Gerardo</cp:lastModifiedBy>
  <cp:lastPrinted>2015-09-14T12:55:57Z</cp:lastPrinted>
  <dcterms:created xsi:type="dcterms:W3CDTF">2015-09-08T14:20:32Z</dcterms:created>
  <dcterms:modified xsi:type="dcterms:W3CDTF">2015-09-17T04:05:58Z</dcterms:modified>
</cp:coreProperties>
</file>